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5480" windowHeight="11640"/>
  </bookViews>
  <sheets>
    <sheet name="Tietojen tallentaminen" sheetId="1" r:id="rId1"/>
    <sheet name="Myyntiraportti" sheetId="2" r:id="rId2"/>
    <sheet name="Myyntiennuste" sheetId="5" r:id="rId3"/>
  </sheets>
  <definedNames>
    <definedName name="fDate">Myyntiennuste!$D$3</definedName>
    <definedName name="fDay">Myyntiennuste!$H$2</definedName>
    <definedName name="fMonth">Myyntiennuste!$G$2</definedName>
    <definedName name="ForecastDate">Myyntiennuste!$D$3</definedName>
    <definedName name="fYear">Myyntiennuste!$I$2</definedName>
    <definedName name="_xlnm.Print_Area" localSheetId="2">Myyntiennuste!$A$1:$M$39</definedName>
    <definedName name="_xlnm.Print_Area" localSheetId="1">Myyntiraportti!$A$1:$N$44</definedName>
    <definedName name="_xlnm.Print_Area" localSheetId="0">'Tietojen tallentaminen'!$A$1:$M$36</definedName>
    <definedName name="_xlnm.Print_Titles" localSheetId="1">Myyntiraportti!$B:$E,Myyntiraportti!$5:$5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B3" i="5" l="1"/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J1" i="1"/>
  <c r="D3" i="5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H24" i="1"/>
  <c r="I24" i="1" s="1"/>
  <c r="J24" i="1"/>
  <c r="L24" i="1"/>
  <c r="N24" i="1"/>
  <c r="L18" i="1"/>
  <c r="H23" i="1"/>
  <c r="I23" i="1" s="1"/>
  <c r="J23" i="1"/>
  <c r="L23" i="1"/>
  <c r="N23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L6" i="1"/>
  <c r="L7" i="1"/>
  <c r="L8" i="1"/>
  <c r="L9" i="1"/>
  <c r="L10" i="1"/>
  <c r="L11" i="1"/>
  <c r="L12" i="1"/>
  <c r="L13" i="1"/>
  <c r="L14" i="1"/>
  <c r="L15" i="1"/>
  <c r="L16" i="1"/>
  <c r="L17" i="1"/>
  <c r="L19" i="1"/>
  <c r="L20" i="1"/>
  <c r="L21" i="1"/>
  <c r="L22" i="1"/>
  <c r="O6" i="1" l="1"/>
  <c r="O23" i="1"/>
  <c r="O21" i="1"/>
  <c r="O19" i="1"/>
  <c r="O17" i="1"/>
  <c r="O15" i="1"/>
  <c r="O13" i="1"/>
  <c r="O11" i="1"/>
  <c r="O9" i="1"/>
  <c r="O7" i="1"/>
  <c r="O24" i="1"/>
  <c r="O22" i="1"/>
  <c r="O20" i="1"/>
  <c r="O18" i="1"/>
  <c r="O16" i="1"/>
  <c r="O14" i="1"/>
  <c r="O12" i="1"/>
  <c r="O10" i="1"/>
  <c r="O8" i="1"/>
  <c r="I14" i="5" l="1"/>
  <c r="D14" i="5"/>
  <c r="H8" i="5"/>
  <c r="G7" i="5"/>
  <c r="H7" i="5"/>
  <c r="G10" i="5"/>
  <c r="G6" i="5"/>
  <c r="G8" i="5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J7" i="5" l="1"/>
  <c r="G9" i="5"/>
  <c r="H9" i="5"/>
  <c r="J8" i="5"/>
  <c r="Q21" i="1"/>
  <c r="Q19" i="1"/>
  <c r="Q17" i="1"/>
  <c r="Q15" i="1"/>
  <c r="Q13" i="1"/>
  <c r="Q11" i="1"/>
  <c r="Q9" i="1"/>
  <c r="Q7" i="1"/>
  <c r="Q22" i="1"/>
  <c r="Q20" i="1"/>
  <c r="Q18" i="1"/>
  <c r="Q16" i="1"/>
  <c r="Q14" i="1"/>
  <c r="Q12" i="1"/>
  <c r="Q10" i="1"/>
  <c r="Q8" i="1"/>
  <c r="Q6" i="1"/>
  <c r="Q23" i="1"/>
  <c r="Q24" i="1"/>
  <c r="C8" i="5"/>
  <c r="C10" i="5"/>
  <c r="C7" i="5"/>
  <c r="D8" i="5"/>
  <c r="D7" i="5"/>
  <c r="C6" i="5"/>
  <c r="I21" i="1"/>
  <c r="I19" i="1"/>
  <c r="I17" i="1"/>
  <c r="I15" i="1"/>
  <c r="I13" i="1"/>
  <c r="I11" i="1"/>
  <c r="I9" i="1"/>
  <c r="I7" i="1"/>
  <c r="I22" i="1"/>
  <c r="I20" i="1"/>
  <c r="I18" i="1"/>
  <c r="I16" i="1"/>
  <c r="I14" i="1"/>
  <c r="I12" i="1"/>
  <c r="I10" i="1"/>
  <c r="I8" i="1"/>
  <c r="I6" i="1"/>
  <c r="G11" i="5"/>
  <c r="I8" i="5"/>
  <c r="I7" i="5"/>
  <c r="J9" i="5" l="1"/>
  <c r="M24" i="1"/>
  <c r="M23" i="1"/>
  <c r="M6" i="1"/>
  <c r="M8" i="1"/>
  <c r="M12" i="1"/>
  <c r="M16" i="1"/>
  <c r="M20" i="1"/>
  <c r="M7" i="1"/>
  <c r="M11" i="1"/>
  <c r="M15" i="1"/>
  <c r="M19" i="1"/>
  <c r="M10" i="1"/>
  <c r="M14" i="1"/>
  <c r="M18" i="1"/>
  <c r="M22" i="1"/>
  <c r="M9" i="1"/>
  <c r="M13" i="1"/>
  <c r="M17" i="1"/>
  <c r="M21" i="1"/>
  <c r="F7" i="5"/>
  <c r="C11" i="5"/>
  <c r="F8" i="5"/>
  <c r="D9" i="5"/>
  <c r="C9" i="5"/>
  <c r="E8" i="5"/>
  <c r="E7" i="5"/>
  <c r="P10" i="1" l="1"/>
  <c r="P14" i="1"/>
  <c r="P15" i="1"/>
  <c r="P7" i="1"/>
  <c r="P16" i="1"/>
  <c r="P8" i="1"/>
  <c r="P23" i="1"/>
  <c r="P21" i="1"/>
  <c r="P13" i="1"/>
  <c r="P22" i="1"/>
  <c r="P19" i="1"/>
  <c r="P11" i="1"/>
  <c r="P20" i="1"/>
  <c r="P12" i="1"/>
  <c r="P24" i="1"/>
  <c r="P6" i="1"/>
  <c r="P17" i="1"/>
  <c r="P9" i="1"/>
  <c r="P18" i="1"/>
  <c r="F14" i="5"/>
  <c r="F9" i="5"/>
</calcChain>
</file>

<file path=xl/sharedStrings.xml><?xml version="1.0" encoding="utf-8"?>
<sst xmlns="http://schemas.openxmlformats.org/spreadsheetml/2006/main" count="94" uniqueCount="56">
  <si>
    <t>Contoso Pharmaceuticals</t>
  </si>
  <si>
    <t>Consolidated Messenger</t>
  </si>
  <si>
    <t>Trey Research</t>
  </si>
  <si>
    <t>%</t>
  </si>
  <si>
    <t xml:space="preserve"> </t>
  </si>
  <si>
    <t>Kaikki yhteensä</t>
  </si>
  <si>
    <t>PÄIVÄMÄÄRÄ</t>
  </si>
  <si>
    <t>YRITYS</t>
  </si>
  <si>
    <t>SUMMA</t>
  </si>
  <si>
    <t>SUUNNITELTU</t>
  </si>
  <si>
    <t>KULUT</t>
  </si>
  <si>
    <t>TUOTTO</t>
  </si>
  <si>
    <t>KUUKAUSI</t>
  </si>
  <si>
    <t>NELJÄNNES</t>
  </si>
  <si>
    <t>VUOSI</t>
  </si>
  <si>
    <t xml:space="preserve">KUUKAUSI </t>
  </si>
  <si>
    <t xml:space="preserve">NELJÄNNES </t>
  </si>
  <si>
    <t xml:space="preserve">VUOSITTAIN </t>
  </si>
  <si>
    <t xml:space="preserve">KUUKAUSI  </t>
  </si>
  <si>
    <t xml:space="preserve">NELJÄNNES  </t>
  </si>
  <si>
    <t xml:space="preserve">VUOSI  </t>
  </si>
  <si>
    <t>YHTEENSÄ</t>
  </si>
  <si>
    <t>ENNUSTE</t>
  </si>
  <si>
    <t>Summa  / SUMMA</t>
  </si>
  <si>
    <t>A. Datum-yritys</t>
  </si>
  <si>
    <t>Proosapojat Oy</t>
  </si>
  <si>
    <t>Taideteollinen korkeakoulu</t>
  </si>
  <si>
    <t>2013 Summa</t>
  </si>
  <si>
    <t>KUUKAUDEN NUMERO (PIILOTA)</t>
  </si>
  <si>
    <t>NYKYINEN KUUKAUSI</t>
  </si>
  <si>
    <t>TODELLINEN</t>
  </si>
  <si>
    <t>VARIANSSI</t>
  </si>
  <si>
    <t>TOTEUTUNUT VUODEN ALUSTA</t>
  </si>
  <si>
    <t>SUUNNITELTU VUODEN ALUSTA</t>
  </si>
  <si>
    <t>VARIANSSI VUODEN ALUSTA</t>
  </si>
  <si>
    <t>% VUODEN ALUSTA</t>
  </si>
  <si>
    <t>Määrä</t>
  </si>
  <si>
    <t>Myynti</t>
  </si>
  <si>
    <t>Tuotot</t>
  </si>
  <si>
    <t>Reunus</t>
  </si>
  <si>
    <t>Tilausten määrä</t>
  </si>
  <si>
    <t>Keskimääräinen tilauksen arvo</t>
  </si>
  <si>
    <t>SEURAAVA KUUKAUSI</t>
  </si>
  <si>
    <t>SEURAAVA NELJÄNNES</t>
  </si>
  <si>
    <t>SEURAAVA VUOSI</t>
  </si>
  <si>
    <t>KUUKAUDEN ENNUSTE</t>
  </si>
  <si>
    <t>NELJÄNNEKSEN ENNUSTE</t>
  </si>
  <si>
    <t>VUOSIENNUSTE</t>
  </si>
  <si>
    <t>TUOTTOVIRTA</t>
  </si>
  <si>
    <t>MYYNTIHISTORIA</t>
  </si>
  <si>
    <t>2. neljännes Summa</t>
  </si>
  <si>
    <t>3. neljännes Summa</t>
  </si>
  <si>
    <t>4. neljännes Summa</t>
  </si>
  <si>
    <r>
      <t xml:space="preserve">KUUKAUSITTAIN </t>
    </r>
    <r>
      <rPr>
        <sz val="20"/>
        <color rgb="FF83BA96"/>
        <rFont val="Arial"/>
        <family val="2"/>
        <scheme val="minor"/>
      </rPr>
      <t>MYYNTIRAPORTTI</t>
    </r>
  </si>
  <si>
    <r>
      <rPr>
        <sz val="20"/>
        <rFont val="Arial Black"/>
        <family val="2"/>
        <scheme val="major"/>
      </rPr>
      <t>KUUKAUSITTAIN</t>
    </r>
    <r>
      <rPr>
        <sz val="20"/>
        <rFont val="Arial"/>
        <family val="2"/>
        <scheme val="minor"/>
      </rPr>
      <t xml:space="preserve"> </t>
    </r>
    <r>
      <rPr>
        <sz val="20"/>
        <color rgb="FF83BA96"/>
        <rFont val="Arial"/>
        <family val="2"/>
        <scheme val="minor"/>
      </rPr>
      <t>MYYNTIRAPORTTI</t>
    </r>
  </si>
  <si>
    <r>
      <rPr>
        <sz val="20"/>
        <color theme="3"/>
        <rFont val="Arial Black"/>
        <family val="2"/>
        <scheme val="major"/>
      </rPr>
      <t>KUUKAUSITTAIN</t>
    </r>
    <r>
      <rPr>
        <sz val="20"/>
        <color theme="3"/>
        <rFont val="Arial"/>
        <family val="2"/>
        <scheme val="minor"/>
      </rPr>
      <t xml:space="preserve"> </t>
    </r>
    <r>
      <rPr>
        <sz val="20"/>
        <color rgb="FF83BA96"/>
        <rFont val="Arial"/>
        <family val="2"/>
        <scheme val="minor"/>
      </rPr>
      <t>MYYNTIENNUSTE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</si>
</sst>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&quot;$&quot;#,##0.00"/>
    <numFmt numFmtId="166" formatCode="mmmm"/>
    <numFmt numFmtId="167" formatCode="&quot;€&quot;#,##0.00"/>
    <numFmt numFmtId="168" formatCode="0&quot;. neljännes&quot;"/>
  </numFmts>
  <fonts count="18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b/>
      <sz val="10"/>
      <color theme="5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20"/>
      <color theme="3"/>
      <name val="Arial"/>
      <family val="2"/>
      <scheme val="minor"/>
    </font>
    <font>
      <sz val="20"/>
      <color rgb="FF83BA96"/>
      <name val="Arial"/>
      <family val="2"/>
      <scheme val="minor"/>
    </font>
    <font>
      <sz val="20"/>
      <name val="Arial"/>
      <family val="2"/>
      <scheme val="minor"/>
    </font>
    <font>
      <sz val="20"/>
      <color theme="3"/>
      <name val="Arial Black"/>
      <family val="2"/>
      <scheme val="major"/>
    </font>
    <font>
      <sz val="20"/>
      <name val="Arial Black"/>
      <family val="2"/>
      <scheme val="major"/>
    </font>
    <font>
      <sz val="12"/>
      <color theme="1" tint="0.249977111117893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>
      <alignment vertical="center"/>
    </xf>
    <xf numFmtId="164" fontId="1" fillId="0" borderId="0" applyFont="0" applyFill="0" applyBorder="0" applyAlignment="0" applyProtection="0"/>
    <xf numFmtId="0" fontId="3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4" fillId="0" borderId="0" applyNumberFormat="0" applyFill="0" applyBorder="0" applyAlignment="0" applyProtection="0"/>
  </cellStyleXfs>
  <cellXfs count="66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5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0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Fill="1" applyBorder="1" applyAlignment="1">
      <alignment horizontal="left" vertical="center"/>
    </xf>
    <xf numFmtId="167" fontId="0" fillId="5" borderId="0" xfId="0" applyNumberFormat="1" applyFont="1" applyFill="1" applyBorder="1" applyAlignment="1">
      <alignment horizontal="left" vertical="center"/>
    </xf>
    <xf numFmtId="166" fontId="0" fillId="5" borderId="0" xfId="0" applyNumberFormat="1" applyFont="1" applyFill="1" applyBorder="1" applyAlignment="1">
      <alignment horizontal="left" vertical="center"/>
    </xf>
    <xf numFmtId="168" fontId="0" fillId="5" borderId="0" xfId="0" applyNumberFormat="1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2" borderId="0" xfId="1" applyNumberFormat="1" applyFont="1" applyFill="1" applyBorder="1" applyAlignment="1">
      <alignment horizontal="left" vertical="center"/>
    </xf>
    <xf numFmtId="167" fontId="0" fillId="4" borderId="0" xfId="0" applyNumberFormat="1" applyFont="1" applyFill="1" applyBorder="1" applyAlignment="1">
      <alignment horizontal="left" vertical="center"/>
    </xf>
    <xf numFmtId="167" fontId="0" fillId="3" borderId="0" xfId="0" applyNumberFormat="1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pivotButton="1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8" fontId="0" fillId="0" borderId="0" xfId="0" applyNumberFormat="1" applyFont="1">
      <alignment vertical="center"/>
    </xf>
    <xf numFmtId="166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167" fontId="0" fillId="0" borderId="0" xfId="0" applyNumberFormat="1" applyFo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horizontal="left"/>
    </xf>
    <xf numFmtId="14" fontId="16" fillId="0" borderId="0" xfId="0" applyNumberFormat="1" applyFont="1" applyAlignment="1">
      <alignment horizontal="right"/>
    </xf>
    <xf numFmtId="0" fontId="7" fillId="0" borderId="4" xfId="4" applyFont="1" applyFill="1" applyBorder="1" applyAlignment="1">
      <alignment horizontal="left" vertical="center"/>
    </xf>
    <xf numFmtId="165" fontId="4" fillId="0" borderId="4" xfId="4" applyNumberFormat="1" applyFont="1" applyFill="1" applyBorder="1" applyAlignment="1">
      <alignment horizontal="left" vertical="center" indent="1"/>
    </xf>
    <xf numFmtId="165" fontId="4" fillId="0" borderId="4" xfId="4" applyNumberFormat="1" applyFont="1" applyFill="1" applyBorder="1" applyAlignment="1">
      <alignment horizontal="left" vertical="center" wrapText="1" indent="1"/>
    </xf>
    <xf numFmtId="165" fontId="4" fillId="0" borderId="4" xfId="4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/>
    </xf>
    <xf numFmtId="0" fontId="5" fillId="5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0" fontId="5" fillId="0" borderId="2" xfId="0" applyNumberFormat="1" applyFont="1" applyFill="1" applyBorder="1" applyAlignment="1">
      <alignment horizontal="left" vertical="center"/>
    </xf>
    <xf numFmtId="10" fontId="5" fillId="0" borderId="2" xfId="0" applyNumberFormat="1" applyFont="1" applyFill="1" applyBorder="1" applyAlignment="1">
      <alignment horizontal="left" vertical="center"/>
    </xf>
    <xf numFmtId="0" fontId="5" fillId="0" borderId="2" xfId="1" applyNumberFormat="1" applyFont="1" applyFill="1" applyBorder="1" applyAlignment="1">
      <alignment horizontal="left" vertical="center"/>
    </xf>
    <xf numFmtId="10" fontId="5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167" fontId="5" fillId="5" borderId="1" xfId="0" applyNumberFormat="1" applyFont="1" applyFill="1" applyBorder="1" applyAlignment="1">
      <alignment horizontal="left" vertical="center" indent="1"/>
    </xf>
    <xf numFmtId="10" fontId="5" fillId="5" borderId="1" xfId="0" applyNumberFormat="1" applyFont="1" applyFill="1" applyBorder="1" applyAlignment="1">
      <alignment horizontal="left" vertical="center" indent="1"/>
    </xf>
    <xf numFmtId="10" fontId="5" fillId="5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165" fontId="5" fillId="5" borderId="1" xfId="0" applyNumberFormat="1" applyFont="1" applyFill="1" applyBorder="1" applyAlignment="1">
      <alignment horizontal="left" vertical="center" indent="1"/>
    </xf>
    <xf numFmtId="0" fontId="17" fillId="0" borderId="0" xfId="0" applyFont="1" applyBorder="1">
      <alignment vertical="center"/>
    </xf>
    <xf numFmtId="165" fontId="4" fillId="0" borderId="4" xfId="4" applyNumberFormat="1" applyFont="1" applyFill="1" applyBorder="1" applyAlignment="1">
      <alignment horizontal="left" vertical="center"/>
    </xf>
    <xf numFmtId="0" fontId="4" fillId="0" borderId="4" xfId="4" applyFont="1" applyBorder="1" applyAlignment="1">
      <alignment horizontal="left" vertical="center"/>
    </xf>
    <xf numFmtId="165" fontId="4" fillId="0" borderId="4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167" fontId="9" fillId="0" borderId="3" xfId="0" applyNumberFormat="1" applyFont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165" fontId="9" fillId="0" borderId="3" xfId="0" applyNumberFormat="1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165" fontId="15" fillId="0" borderId="0" xfId="0" applyNumberFormat="1" applyFont="1" applyFill="1" applyBorder="1" applyAlignment="1">
      <alignment horizontal="left" vertical="center"/>
    </xf>
  </cellXfs>
  <cellStyles count="5">
    <cellStyle name="Comma" xfId="1" builtinId="3"/>
    <cellStyle name="Heading 1" xfId="2" builtinId="16" customBuiltin="1"/>
    <cellStyle name="Heading 2" xfId="3" builtinId="17" customBuiltin="1"/>
    <cellStyle name="Heading 4" xfId="4" builtinId="19" customBuiltin="1"/>
    <cellStyle name="Normal" xfId="0" builtinId="0" customBuiltin="1"/>
  </cellStyles>
  <dxfs count="62"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numFmt numFmtId="167" formatCode="&quot;€&quot;#,##0.00"/>
    </dxf>
    <dxf>
      <numFmt numFmtId="167" formatCode="&quot;€&quot;#,##0.00"/>
    </dxf>
    <dxf>
      <font>
        <name val="Tahoma"/>
        <scheme val="none"/>
      </font>
    </dxf>
    <dxf>
      <alignment horizontal="left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</dxf>
    <dxf>
      <alignment horizontal="right" readingOrder="0"/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7" formatCode="&quot;€&quot;#,##0.00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7" formatCode="&quot;€&quot;#,##0.00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7" formatCode="&quot;€&quot;#,##0.00"/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7" formatCode="&quot;€&quot;#,##0.00"/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7" formatCode="&quot;€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7" formatCode="&quot;€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9" formatCode="mm/dd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minor"/>
      </font>
      <alignment vertical="center" textRotation="0" indent="0" justifyLastLine="0" shrinkToFit="0" readingOrder="0"/>
    </dxf>
    <dxf>
      <font>
        <b val="0"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Sales Report Table Style" defaultPivotStyle="Monthly Sales Report PivotTable Style">
    <tableStyle name="Monthly Sales Report PivotTable Style" table="0" count="8">
      <tableStyleElement type="wholeTable" dxfId="61"/>
      <tableStyleElement type="headerRow" dxfId="60"/>
      <tableStyleElement type="totalRow" dxfId="59"/>
      <tableStyleElement type="secondSubtotalRow" dxfId="58"/>
      <tableStyleElement type="thirdSubtotalRow" dxfId="57"/>
      <tableStyleElement type="firstRowSubheading" dxfId="56"/>
      <tableStyleElement type="secondRowSubheading" dxfId="55"/>
      <tableStyleElement type="thirdRowSubheading" dxfId="54"/>
    </tableStyle>
    <tableStyle name="Monthly Sales Report Table Style" pivot="0" count="2">
      <tableStyleElement type="wholeTable" dxfId="53"/>
      <tableStyleElement type="headerRow" dxfId="5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'Tietojen tallentaminen'!$D$5</c:f>
              <c:strCache>
                <c:ptCount val="1"/>
                <c:pt idx="0">
                  <c:v>SUMMA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'Tietojen tallentaminen'!$B$6:$B$24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'Tietojen tallentaminen'!$D$6:$D$24</c:f>
              <c:numCache>
                <c:formatCode>"€"#,##0.00</c:formatCode>
                <c:ptCount val="19"/>
                <c:pt idx="0">
                  <c:v>6400</c:v>
                </c:pt>
                <c:pt idx="1">
                  <c:v>8200</c:v>
                </c:pt>
                <c:pt idx="2">
                  <c:v>4400</c:v>
                </c:pt>
                <c:pt idx="3">
                  <c:v>5400</c:v>
                </c:pt>
                <c:pt idx="4">
                  <c:v>5800</c:v>
                </c:pt>
                <c:pt idx="5">
                  <c:v>6200</c:v>
                </c:pt>
                <c:pt idx="6">
                  <c:v>6900</c:v>
                </c:pt>
                <c:pt idx="7">
                  <c:v>7500</c:v>
                </c:pt>
                <c:pt idx="8">
                  <c:v>8700</c:v>
                </c:pt>
                <c:pt idx="9">
                  <c:v>8500</c:v>
                </c:pt>
                <c:pt idx="10">
                  <c:v>7900</c:v>
                </c:pt>
                <c:pt idx="11">
                  <c:v>9100</c:v>
                </c:pt>
                <c:pt idx="12">
                  <c:v>5600</c:v>
                </c:pt>
                <c:pt idx="13">
                  <c:v>9300</c:v>
                </c:pt>
                <c:pt idx="14">
                  <c:v>8800</c:v>
                </c:pt>
                <c:pt idx="15">
                  <c:v>9100</c:v>
                </c:pt>
                <c:pt idx="16">
                  <c:v>9000</c:v>
                </c:pt>
                <c:pt idx="17">
                  <c:v>7500</c:v>
                </c:pt>
                <c:pt idx="18">
                  <c:v>9500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'Tietojen tallentaminen'!$E$5</c:f>
              <c:strCache>
                <c:ptCount val="1"/>
                <c:pt idx="0">
                  <c:v>SUUNNITELTU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'Tietojen tallentaminen'!$B$6:$B$24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'Tietojen tallentaminen'!$E$6:$E$24</c:f>
              <c:numCache>
                <c:formatCode>"€"#,##0.00</c:formatCode>
                <c:ptCount val="19"/>
                <c:pt idx="0">
                  <c:v>6200</c:v>
                </c:pt>
                <c:pt idx="1">
                  <c:v>8000</c:v>
                </c:pt>
                <c:pt idx="2">
                  <c:v>4200</c:v>
                </c:pt>
                <c:pt idx="3">
                  <c:v>5500</c:v>
                </c:pt>
                <c:pt idx="4">
                  <c:v>6000</c:v>
                </c:pt>
                <c:pt idx="5">
                  <c:v>6000</c:v>
                </c:pt>
                <c:pt idx="6">
                  <c:v>7500</c:v>
                </c:pt>
                <c:pt idx="7">
                  <c:v>7200</c:v>
                </c:pt>
                <c:pt idx="8">
                  <c:v>8500</c:v>
                </c:pt>
                <c:pt idx="9">
                  <c:v>8300</c:v>
                </c:pt>
                <c:pt idx="10">
                  <c:v>7700</c:v>
                </c:pt>
                <c:pt idx="11">
                  <c:v>8900</c:v>
                </c:pt>
                <c:pt idx="12">
                  <c:v>5800</c:v>
                </c:pt>
                <c:pt idx="13">
                  <c:v>9100</c:v>
                </c:pt>
                <c:pt idx="14">
                  <c:v>9350</c:v>
                </c:pt>
                <c:pt idx="15">
                  <c:v>9200</c:v>
                </c:pt>
                <c:pt idx="16">
                  <c:v>10000</c:v>
                </c:pt>
                <c:pt idx="17">
                  <c:v>8000</c:v>
                </c:pt>
                <c:pt idx="18">
                  <c:v>9200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'Tietojen tallentaminen'!$F$5</c:f>
              <c:strCache>
                <c:ptCount val="1"/>
                <c:pt idx="0">
                  <c:v>KULUT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'Tietojen tallentaminen'!$B$6:$B$24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'Tietojen tallentaminen'!$F$6:$F$24</c:f>
              <c:numCache>
                <c:formatCode>"€"#,##0.00</c:formatCode>
                <c:ptCount val="19"/>
                <c:pt idx="0">
                  <c:v>4450</c:v>
                </c:pt>
                <c:pt idx="1">
                  <c:v>6400</c:v>
                </c:pt>
                <c:pt idx="2">
                  <c:v>2600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5400</c:v>
                </c:pt>
                <c:pt idx="7">
                  <c:v>6500</c:v>
                </c:pt>
                <c:pt idx="8">
                  <c:v>7250</c:v>
                </c:pt>
                <c:pt idx="9">
                  <c:v>7100</c:v>
                </c:pt>
                <c:pt idx="10">
                  <c:v>6600</c:v>
                </c:pt>
                <c:pt idx="11">
                  <c:v>7900</c:v>
                </c:pt>
                <c:pt idx="12">
                  <c:v>4500</c:v>
                </c:pt>
                <c:pt idx="13">
                  <c:v>7500</c:v>
                </c:pt>
                <c:pt idx="14">
                  <c:v>7100</c:v>
                </c:pt>
                <c:pt idx="15">
                  <c:v>7850</c:v>
                </c:pt>
                <c:pt idx="16">
                  <c:v>7575</c:v>
                </c:pt>
                <c:pt idx="17">
                  <c:v>5850</c:v>
                </c:pt>
                <c:pt idx="18">
                  <c:v>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'Tietojen tallentaminen'!$G$5</c:f>
              <c:strCache>
                <c:ptCount val="1"/>
                <c:pt idx="0">
                  <c:v>TUOTTO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'Tietojen tallentaminen'!$B$6:$B$24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'Tietojen tallentaminen'!$G$6:$G$24</c:f>
              <c:numCache>
                <c:formatCode>"€"#,##0.00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66400"/>
        <c:axId val="81368192"/>
      </c:lineChart>
      <c:dateAx>
        <c:axId val="81366400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81368192"/>
        <c:crosses val="autoZero"/>
        <c:auto val="1"/>
        <c:lblOffset val="100"/>
        <c:baseTimeUnit val="days"/>
        <c:majorUnit val="1"/>
        <c:majorTimeUnit val="months"/>
      </c:dateAx>
      <c:valAx>
        <c:axId val="8136819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€&quot;#,##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+mn-lt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81366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  <c:txPr>
        <a:bodyPr/>
        <a:lstStyle/>
        <a:p>
          <a:pPr>
            <a:defRPr>
              <a:latin typeface="+mn-lt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'Tietojen tallentaminen'!$O$5</c:f>
              <c:strCache>
                <c:ptCount val="1"/>
                <c:pt idx="0">
                  <c:v>KUUKAUSI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'Tietojen tallentaminen'!$B$6:$B$24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'Tietojen tallentaminen'!$O$6:$O$24</c:f>
              <c:numCache>
                <c:formatCode>"€"#,##0.00</c:formatCode>
                <c:ptCount val="19"/>
                <c:pt idx="0">
                  <c:v>14600</c:v>
                </c:pt>
                <c:pt idx="1">
                  <c:v>14600</c:v>
                </c:pt>
                <c:pt idx="2">
                  <c:v>28999.999999999996</c:v>
                </c:pt>
                <c:pt idx="3">
                  <c:v>29000</c:v>
                </c:pt>
                <c:pt idx="4">
                  <c:v>29000</c:v>
                </c:pt>
                <c:pt idx="5">
                  <c:v>29000</c:v>
                </c:pt>
                <c:pt idx="6">
                  <c:v>21600.000000000004</c:v>
                </c:pt>
                <c:pt idx="7">
                  <c:v>17950</c:v>
                </c:pt>
                <c:pt idx="8">
                  <c:v>10776.470588235294</c:v>
                </c:pt>
                <c:pt idx="9">
                  <c:v>12455.862068965516</c:v>
                </c:pt>
                <c:pt idx="10">
                  <c:v>13667.567567567567</c:v>
                </c:pt>
                <c:pt idx="11">
                  <c:v>17651.666666666668</c:v>
                </c:pt>
                <c:pt idx="12">
                  <c:v>19877.911646586344</c:v>
                </c:pt>
                <c:pt idx="13">
                  <c:v>21138.050314465407</c:v>
                </c:pt>
                <c:pt idx="14">
                  <c:v>17951.744186046511</c:v>
                </c:pt>
                <c:pt idx="15">
                  <c:v>20556.130108423687</c:v>
                </c:pt>
                <c:pt idx="16">
                  <c:v>21997.139141742522</c:v>
                </c:pt>
                <c:pt idx="17">
                  <c:v>22917.634523175278</c:v>
                </c:pt>
                <c:pt idx="18">
                  <c:v>20504.314720812181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68800"/>
        <c:axId val="81070336"/>
      </c:lineChart>
      <c:dateAx>
        <c:axId val="81068800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81070336"/>
        <c:crosses val="autoZero"/>
        <c:auto val="1"/>
        <c:lblOffset val="100"/>
        <c:baseTimeUnit val="days"/>
        <c:majorUnit val="1"/>
        <c:majorTimeUnit val="months"/>
      </c:dateAx>
      <c:valAx>
        <c:axId val="8107033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€&quot;#,##0.00" sourceLinked="1"/>
        <c:majorTickMark val="out"/>
        <c:minorTickMark val="none"/>
        <c:tickLblPos val="nextTo"/>
        <c:txPr>
          <a:bodyPr/>
          <a:lstStyle/>
          <a:p>
            <a:pPr>
              <a:defRPr sz="700" b="1">
                <a:latin typeface="+mn-lt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810688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'Tietojen tallentaminen'!$P$5</c:f>
              <c:strCache>
                <c:ptCount val="1"/>
                <c:pt idx="0">
                  <c:v>NELJÄNNES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'Tietojen tallentaminen'!$B$6:$B$24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'Tietojen tallentaminen'!$P$6:$P$24</c:f>
              <c:numCache>
                <c:formatCode>"€"#,##0.00</c:formatCode>
                <c:ptCount val="19"/>
                <c:pt idx="0">
                  <c:v>50800</c:v>
                </c:pt>
                <c:pt idx="1">
                  <c:v>50800</c:v>
                </c:pt>
                <c:pt idx="2">
                  <c:v>50800</c:v>
                </c:pt>
                <c:pt idx="3">
                  <c:v>50800</c:v>
                </c:pt>
                <c:pt idx="4">
                  <c:v>50800</c:v>
                </c:pt>
                <c:pt idx="5">
                  <c:v>50800</c:v>
                </c:pt>
                <c:pt idx="6">
                  <c:v>50800</c:v>
                </c:pt>
                <c:pt idx="7">
                  <c:v>50800</c:v>
                </c:pt>
                <c:pt idx="8">
                  <c:v>47400</c:v>
                </c:pt>
                <c:pt idx="9">
                  <c:v>47400</c:v>
                </c:pt>
                <c:pt idx="10">
                  <c:v>47400.000000000007</c:v>
                </c:pt>
                <c:pt idx="11">
                  <c:v>47400</c:v>
                </c:pt>
                <c:pt idx="12">
                  <c:v>47400</c:v>
                </c:pt>
                <c:pt idx="13">
                  <c:v>47400</c:v>
                </c:pt>
                <c:pt idx="14">
                  <c:v>43258.139534883725</c:v>
                </c:pt>
                <c:pt idx="15">
                  <c:v>42312.903225806447</c:v>
                </c:pt>
                <c:pt idx="16">
                  <c:v>41811.111111111109</c:v>
                </c:pt>
                <c:pt idx="17">
                  <c:v>41500</c:v>
                </c:pt>
                <c:pt idx="18">
                  <c:v>41288.23529411765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10528"/>
        <c:axId val="81112064"/>
      </c:lineChart>
      <c:dateAx>
        <c:axId val="81110528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81112064"/>
        <c:crosses val="autoZero"/>
        <c:auto val="1"/>
        <c:lblOffset val="100"/>
        <c:baseTimeUnit val="days"/>
        <c:majorUnit val="1"/>
        <c:majorTimeUnit val="months"/>
      </c:dateAx>
      <c:valAx>
        <c:axId val="8111206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€&quot;#,##0.00" sourceLinked="1"/>
        <c:majorTickMark val="out"/>
        <c:minorTickMark val="none"/>
        <c:tickLblPos val="nextTo"/>
        <c:txPr>
          <a:bodyPr/>
          <a:lstStyle/>
          <a:p>
            <a:pPr>
              <a:defRPr sz="700" b="1">
                <a:latin typeface="+mn-lt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811105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'Tietojen tallentaminen'!$Q$5</c:f>
              <c:strCache>
                <c:ptCount val="1"/>
                <c:pt idx="0">
                  <c:v>VUOSI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'Tietojen tallentaminen'!$B$6:$B$24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'Tietojen tallentaminen'!$Q$6:$Q$24</c:f>
              <c:numCache>
                <c:formatCode>"€"#,##0.00</c:formatCode>
                <c:ptCount val="19"/>
                <c:pt idx="0">
                  <c:v>143800</c:v>
                </c:pt>
                <c:pt idx="1">
                  <c:v>143800</c:v>
                </c:pt>
                <c:pt idx="2">
                  <c:v>143800</c:v>
                </c:pt>
                <c:pt idx="3">
                  <c:v>143800</c:v>
                </c:pt>
                <c:pt idx="4">
                  <c:v>143800</c:v>
                </c:pt>
                <c:pt idx="5">
                  <c:v>143800</c:v>
                </c:pt>
                <c:pt idx="6">
                  <c:v>143800</c:v>
                </c:pt>
                <c:pt idx="7">
                  <c:v>143800</c:v>
                </c:pt>
                <c:pt idx="8">
                  <c:v>143800</c:v>
                </c:pt>
                <c:pt idx="9">
                  <c:v>143800</c:v>
                </c:pt>
                <c:pt idx="10">
                  <c:v>143800</c:v>
                </c:pt>
                <c:pt idx="11">
                  <c:v>143800</c:v>
                </c:pt>
                <c:pt idx="12">
                  <c:v>143800</c:v>
                </c:pt>
                <c:pt idx="13">
                  <c:v>143800</c:v>
                </c:pt>
                <c:pt idx="14">
                  <c:v>143800</c:v>
                </c:pt>
                <c:pt idx="15">
                  <c:v>143800</c:v>
                </c:pt>
                <c:pt idx="16">
                  <c:v>143800</c:v>
                </c:pt>
                <c:pt idx="17">
                  <c:v>143800</c:v>
                </c:pt>
                <c:pt idx="18">
                  <c:v>143800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23584"/>
        <c:axId val="81158144"/>
      </c:lineChart>
      <c:dateAx>
        <c:axId val="81123584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81158144"/>
        <c:crosses val="autoZero"/>
        <c:auto val="1"/>
        <c:lblOffset val="100"/>
        <c:baseTimeUnit val="days"/>
        <c:majorUnit val="1"/>
        <c:majorTimeUnit val="months"/>
      </c:dateAx>
      <c:valAx>
        <c:axId val="8115814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€&quot;#,##0.00" sourceLinked="1"/>
        <c:majorTickMark val="out"/>
        <c:minorTickMark val="none"/>
        <c:tickLblPos val="nextTo"/>
        <c:txPr>
          <a:bodyPr/>
          <a:lstStyle/>
          <a:p>
            <a:pPr>
              <a:defRPr sz="700" b="1">
                <a:latin typeface="+mn-lt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811235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'Tietojen tallentaminen'!$G$5</c:f>
              <c:strCache>
                <c:ptCount val="1"/>
                <c:pt idx="0">
                  <c:v>TUOTTO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'Tietojen tallentaminen'!$B$6:$B$24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'Tietojen tallentaminen'!$G$6:$G$24</c:f>
              <c:numCache>
                <c:formatCode>"€"#,##0.00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5312"/>
        <c:axId val="81179392"/>
      </c:lineChart>
      <c:dateAx>
        <c:axId val="81165312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81179392"/>
        <c:crosses val="autoZero"/>
        <c:auto val="1"/>
        <c:lblOffset val="100"/>
        <c:baseTimeUnit val="days"/>
        <c:majorUnit val="1"/>
        <c:majorTimeUnit val="months"/>
      </c:dateAx>
      <c:valAx>
        <c:axId val="8117939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€&quot;#,##0.00" sourceLinked="1"/>
        <c:majorTickMark val="out"/>
        <c:minorTickMark val="none"/>
        <c:tickLblPos val="nextTo"/>
        <c:txPr>
          <a:bodyPr/>
          <a:lstStyle/>
          <a:p>
            <a:pPr>
              <a:defRPr sz="700" b="1">
                <a:latin typeface="+mn-lt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811653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Myyntiennuste!A1"/><Relationship Id="rId1" Type="http://schemas.openxmlformats.org/officeDocument/2006/relationships/hyperlink" Target="#Myyntiraportti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yyntiennuste!A1"/><Relationship Id="rId1" Type="http://schemas.openxmlformats.org/officeDocument/2006/relationships/hyperlink" Target="#'Tietojen tallentamine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Myyntiraportti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Tietojen tallentaminen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476251</xdr:colOff>
      <xdr:row>1</xdr:row>
      <xdr:rowOff>85725</xdr:rowOff>
    </xdr:from>
    <xdr:to>
      <xdr:col>6</xdr:col>
      <xdr:colOff>849250</xdr:colOff>
      <xdr:row>1</xdr:row>
      <xdr:rowOff>314325</xdr:rowOff>
    </xdr:to>
    <xdr:sp macro="" textlink="">
      <xdr:nvSpPr>
        <xdr:cNvPr id="2" name="Myyntiraportti" descr="Tarkastele myyntiraporttitaulukkoa napsauttamalla tätä." title="Myyntiraportin siirtymispainike">
          <a:hlinkClick xmlns:r="http://schemas.openxmlformats.org/officeDocument/2006/relationships" r:id="rId1" tooltip="Tarkastele myyntiraporttitaulukkoa napsauttamalla tätä."/>
        </xdr:cNvPr>
        <xdr:cNvSpPr/>
      </xdr:nvSpPr>
      <xdr:spPr>
        <a:xfrm>
          <a:off x="4686301" y="228600"/>
          <a:ext cx="110642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lt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Myyntiraportti</a:t>
          </a:r>
          <a:endParaRPr lang="fi-FI" sz="1100">
            <a:solidFill>
              <a:schemeClr val="lt1"/>
            </a:solidFill>
            <a:effectLst/>
            <a:latin typeface="+mn-lt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6</xdr:col>
      <xdr:colOff>904875</xdr:colOff>
      <xdr:row>1</xdr:row>
      <xdr:rowOff>85726</xdr:rowOff>
    </xdr:from>
    <xdr:to>
      <xdr:col>8</xdr:col>
      <xdr:colOff>413004</xdr:colOff>
      <xdr:row>1</xdr:row>
      <xdr:rowOff>314326</xdr:rowOff>
    </xdr:to>
    <xdr:sp macro="" textlink="">
      <xdr:nvSpPr>
        <xdr:cNvPr id="3" name="Myyntiennuste" descr="Tarkastele myyntiennustetaulukkoa napsauttamalla tätä." title="Myyntiennusteen siirtymispainike">
          <a:hlinkClick xmlns:r="http://schemas.openxmlformats.org/officeDocument/2006/relationships" r:id="rId2" tooltip="Tarkastele myyntiennustetaulukkoa napsauttamalla tätä."/>
        </xdr:cNvPr>
        <xdr:cNvSpPr/>
      </xdr:nvSpPr>
      <xdr:spPr>
        <a:xfrm>
          <a:off x="5848350" y="228601"/>
          <a:ext cx="128930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Myyntiennuste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2209801</xdr:colOff>
      <xdr:row>1</xdr:row>
      <xdr:rowOff>85725</xdr:rowOff>
    </xdr:from>
    <xdr:to>
      <xdr:col>5</xdr:col>
      <xdr:colOff>1437901</xdr:colOff>
      <xdr:row>1</xdr:row>
      <xdr:rowOff>314325</xdr:rowOff>
    </xdr:to>
    <xdr:sp macro="" textlink="">
      <xdr:nvSpPr>
        <xdr:cNvPr id="7" name="Tietojen tallentaminen" descr="Tarkastele tietojensyöttötaulukkoa napsauttamalla tätä." title="Tietojen tallentamisen siirtymispainike">
          <a:hlinkClick xmlns:r="http://schemas.openxmlformats.org/officeDocument/2006/relationships" r:id="rId1" tooltip="Tarkastele tietojensyöttötaulukkoa napsauttamalla tätä."/>
        </xdr:cNvPr>
        <xdr:cNvSpPr/>
      </xdr:nvSpPr>
      <xdr:spPr>
        <a:xfrm>
          <a:off x="5181601" y="228600"/>
          <a:ext cx="14760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Tietojen tallentaminen</a:t>
          </a:r>
        </a:p>
      </xdr:txBody>
    </xdr:sp>
    <xdr:clientData fPrintsWithSheet="0"/>
  </xdr:twoCellAnchor>
  <xdr:twoCellAnchor>
    <xdr:from>
      <xdr:col>5</xdr:col>
      <xdr:colOff>1495425</xdr:colOff>
      <xdr:row>1</xdr:row>
      <xdr:rowOff>85726</xdr:rowOff>
    </xdr:from>
    <xdr:to>
      <xdr:col>8</xdr:col>
      <xdr:colOff>174879</xdr:colOff>
      <xdr:row>1</xdr:row>
      <xdr:rowOff>314326</xdr:rowOff>
    </xdr:to>
    <xdr:sp macro="" textlink="">
      <xdr:nvSpPr>
        <xdr:cNvPr id="8" name="Myyntiraportti" descr="Tarkastele myyntiennustetaulukkoa napsauttamalla tätä." title="Myyntiennusteen siirtymispainike">
          <a:hlinkClick xmlns:r="http://schemas.openxmlformats.org/officeDocument/2006/relationships" r:id="rId2" tooltip="Tarkastele myyntiennustetaulukkoa napsauttamalla tätä."/>
        </xdr:cNvPr>
        <xdr:cNvSpPr/>
      </xdr:nvSpPr>
      <xdr:spPr>
        <a:xfrm>
          <a:off x="6715125" y="228601"/>
          <a:ext cx="128930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Myyntiraportti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</xdr:row>
      <xdr:rowOff>114300</xdr:rowOff>
    </xdr:from>
    <xdr:to>
      <xdr:col>9</xdr:col>
      <xdr:colOff>876299</xdr:colOff>
      <xdr:row>27</xdr:row>
      <xdr:rowOff>142875</xdr:rowOff>
    </xdr:to>
    <xdr:graphicFrame macro="">
      <xdr:nvGraphicFramePr>
        <xdr:cNvPr id="4" name="Myyntihistoria" descr="Myyntihistoriakaavio" title="Kaavi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30</xdr:row>
      <xdr:rowOff>9525</xdr:rowOff>
    </xdr:from>
    <xdr:to>
      <xdr:col>5</xdr:col>
      <xdr:colOff>141131</xdr:colOff>
      <xdr:row>35</xdr:row>
      <xdr:rowOff>92919</xdr:rowOff>
    </xdr:to>
    <xdr:graphicFrame macro="">
      <xdr:nvGraphicFramePr>
        <xdr:cNvPr id="5" name="Kuukausiennuste" descr="Kuukausiennustekaavio" title="Kaavi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195263</xdr:colOff>
      <xdr:row>30</xdr:row>
      <xdr:rowOff>9525</xdr:rowOff>
    </xdr:from>
    <xdr:to>
      <xdr:col>9</xdr:col>
      <xdr:colOff>871537</xdr:colOff>
      <xdr:row>35</xdr:row>
      <xdr:rowOff>92919</xdr:rowOff>
    </xdr:to>
    <xdr:graphicFrame macro="">
      <xdr:nvGraphicFramePr>
        <xdr:cNvPr id="6" name="Neljänneksen ennuste" descr="Neljänneksen ennustekaavio" title="Kaavi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38</xdr:row>
      <xdr:rowOff>9526</xdr:rowOff>
    </xdr:from>
    <xdr:to>
      <xdr:col>5</xdr:col>
      <xdr:colOff>141131</xdr:colOff>
      <xdr:row>43</xdr:row>
      <xdr:rowOff>57151</xdr:rowOff>
    </xdr:to>
    <xdr:graphicFrame macro="">
      <xdr:nvGraphicFramePr>
        <xdr:cNvPr id="7" name="Vuosiennuste" descr="Vuosiennustekaavio" title="Kaavi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198491</xdr:colOff>
      <xdr:row>38</xdr:row>
      <xdr:rowOff>9526</xdr:rowOff>
    </xdr:from>
    <xdr:to>
      <xdr:col>9</xdr:col>
      <xdr:colOff>874765</xdr:colOff>
      <xdr:row>43</xdr:row>
      <xdr:rowOff>64345</xdr:rowOff>
    </xdr:to>
    <xdr:graphicFrame macro="">
      <xdr:nvGraphicFramePr>
        <xdr:cNvPr id="8" name="Tuottovirta" descr="Tuottovirran kaavio" title="Kaavi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504825</xdr:colOff>
      <xdr:row>1</xdr:row>
      <xdr:rowOff>85725</xdr:rowOff>
    </xdr:from>
    <xdr:to>
      <xdr:col>7</xdr:col>
      <xdr:colOff>152025</xdr:colOff>
      <xdr:row>1</xdr:row>
      <xdr:rowOff>314325</xdr:rowOff>
    </xdr:to>
    <xdr:sp macro="" textlink="">
      <xdr:nvSpPr>
        <xdr:cNvPr id="10" name="Tietojen tallentaminen" descr="Tarkastele tietojensyöttötaulukkoa napsauttamalla tätä." title="Tietojen tallentamisen siirtymispainike">
          <a:hlinkClick xmlns:r="http://schemas.openxmlformats.org/officeDocument/2006/relationships" r:id="rId6" tooltip="Tarkastele tietojensyöttötaulukkoa napsauttamalla tätä."/>
        </xdr:cNvPr>
        <xdr:cNvSpPr/>
      </xdr:nvSpPr>
      <xdr:spPr>
        <a:xfrm>
          <a:off x="5105400" y="219075"/>
          <a:ext cx="14760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Tietojen tallentaminen</a:t>
          </a:r>
        </a:p>
      </xdr:txBody>
    </xdr:sp>
    <xdr:clientData fPrintsWithSheet="0"/>
  </xdr:twoCellAnchor>
  <xdr:twoCellAnchor>
    <xdr:from>
      <xdr:col>7</xdr:col>
      <xdr:colOff>219075</xdr:colOff>
      <xdr:row>1</xdr:row>
      <xdr:rowOff>85726</xdr:rowOff>
    </xdr:from>
    <xdr:to>
      <xdr:col>8</xdr:col>
      <xdr:colOff>593979</xdr:colOff>
      <xdr:row>1</xdr:row>
      <xdr:rowOff>314326</xdr:rowOff>
    </xdr:to>
    <xdr:sp macro="" textlink="">
      <xdr:nvSpPr>
        <xdr:cNvPr id="11" name="Myyntiraportti" descr="Click to view Sales Report sheet." title="Myyntiraportin siirtymispainike">
          <a:hlinkClick xmlns:r="http://schemas.openxmlformats.org/officeDocument/2006/relationships" r:id="rId7" tooltip="Tarkastele myyntiraporttitaulukkoa napsauttamalla tätä."/>
        </xdr:cNvPr>
        <xdr:cNvSpPr/>
      </xdr:nvSpPr>
      <xdr:spPr>
        <a:xfrm>
          <a:off x="6648450" y="219076"/>
          <a:ext cx="128930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Myyntiraportti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utawadchara Kaentubtim" refreshedDate="41191.439446296296" createdVersion="5" refreshedVersion="5" minRefreshableVersion="3" recordCount="19">
  <cacheSource type="worksheet">
    <worksheetSource name="tblData"/>
  </cacheSource>
  <cacheFields count="16">
    <cacheField name="PÄIVÄMÄÄRÄ" numFmtId="14">
      <sharedItems containsSemiMixedTypes="0" containsNonDate="0" containsDate="1" containsString="0" minDate="2013-04-23T00:00:00" maxDate="2013-12-12T00:00:00"/>
    </cacheField>
    <cacheField name="YRITYS" numFmtId="0">
      <sharedItems count="9">
        <s v="A. Datum-yritys"/>
        <s v="Contoso Pharmaceuticals"/>
        <s v="Consolidated Messenger"/>
        <s v="Proosapojat Oy"/>
        <s v="Taideteollinen korkeakoulu"/>
        <s v="Trey Research"/>
        <s v="A. Datum Corporation" u="1"/>
        <s v="School of Fine Art" u="1"/>
        <s v="Proseware, Inc." u="1"/>
      </sharedItems>
    </cacheField>
    <cacheField name="SUMMA" numFmtId="167">
      <sharedItems containsSemiMixedTypes="0" containsString="0" containsNumber="1" containsInteger="1" minValue="4400" maxValue="9500"/>
    </cacheField>
    <cacheField name="SUUNNITELTU" numFmtId="167">
      <sharedItems containsSemiMixedTypes="0" containsString="0" containsNumber="1" containsInteger="1" minValue="4200" maxValue="10000"/>
    </cacheField>
    <cacheField name="KULUT" numFmtId="167">
      <sharedItems containsSemiMixedTypes="0" containsString="0" containsNumber="1" containsInteger="1" minValue="2600" maxValue="8500"/>
    </cacheField>
    <cacheField name="TUOTTO" numFmtId="167">
      <sharedItems containsSemiMixedTypes="0" containsString="0" containsNumber="1" containsInteger="1" minValue="900" maxValue="1950"/>
    </cacheField>
    <cacheField name="KUUKAUSI" numFmtId="166">
      <sharedItems containsSemiMixedTypes="0" containsNonDate="0" containsDate="1" containsString="0" minDate="2013-04-01T00:00:00" maxDate="2013-12-02T00:00:00" count="9"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NELJÄNNES" numFmtId="168">
      <sharedItems containsSemiMixedTypes="0" containsString="0" containsNumber="1" containsInteger="1" minValue="2" maxValue="4" count="3">
        <n v="2"/>
        <n v="3"/>
        <n v="4"/>
      </sharedItems>
    </cacheField>
    <cacheField name="VUOSI" numFmtId="0">
      <sharedItems containsSemiMixedTypes="0" containsString="0" containsNumber="1" containsInteger="1" minValue="2013" maxValue="2013" count="1">
        <n v="2013"/>
      </sharedItems>
    </cacheField>
    <cacheField name="KUUKAUDEN NUMERO (PIILOTA)" numFmtId="0">
      <sharedItems containsSemiMixedTypes="0" containsString="0" containsNumber="1" containsInteger="1" minValue="4" maxValue="12"/>
    </cacheField>
    <cacheField name="KUUKAUSI " numFmtId="167">
      <sharedItems containsSemiMixedTypes="0" containsString="0" containsNumber="1" containsInteger="1" minValue="8700" maxValue="25600"/>
    </cacheField>
    <cacheField name="NELJÄNNES " numFmtId="167">
      <sharedItems containsSemiMixedTypes="0" containsString="0" containsNumber="1" containsInteger="1" minValue="43900" maxValue="50800"/>
    </cacheField>
    <cacheField name="VUOSITTAIN " numFmtId="167">
      <sharedItems containsSemiMixedTypes="0" containsString="0" containsNumber="1" containsInteger="1" minValue="143800" maxValue="143800"/>
    </cacheField>
    <cacheField name="KUUKAUSI  " numFmtId="167">
      <sharedItems containsSemiMixedTypes="0" containsString="0" containsNumber="1" minValue="10776.470588235294" maxValue="29000"/>
    </cacheField>
    <cacheField name="NELJÄNNES  " numFmtId="167">
      <sharedItems containsSemiMixedTypes="0" containsString="0" containsNumber="1" minValue="41288.23529411765" maxValue="50800"/>
    </cacheField>
    <cacheField name="VUOSI  " numFmtId="167">
      <sharedItems containsSemiMixedTypes="0" containsString="0" containsNumber="1" containsInteger="1" minValue="143800" maxValue="14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3-04-23T00:00:00"/>
    <x v="0"/>
    <n v="6400"/>
    <n v="6200"/>
    <n v="4450"/>
    <n v="1950"/>
    <x v="0"/>
    <x v="0"/>
    <x v="0"/>
    <n v="4"/>
    <n v="14600"/>
    <n v="50800"/>
    <n v="143800"/>
    <n v="14600"/>
    <n v="50800"/>
    <n v="143800"/>
  </r>
  <r>
    <d v="2013-04-25T00:00:00"/>
    <x v="1"/>
    <n v="8200"/>
    <n v="8000"/>
    <n v="6400"/>
    <n v="1800"/>
    <x v="0"/>
    <x v="0"/>
    <x v="0"/>
    <n v="4"/>
    <n v="14600"/>
    <n v="50800"/>
    <n v="143800"/>
    <n v="14600"/>
    <n v="50800"/>
    <n v="143800"/>
  </r>
  <r>
    <d v="2013-05-07T00:00:00"/>
    <x v="2"/>
    <n v="4400"/>
    <n v="4200"/>
    <n v="2600"/>
    <n v="1800"/>
    <x v="1"/>
    <x v="0"/>
    <x v="0"/>
    <n v="5"/>
    <n v="21800"/>
    <n v="50800"/>
    <n v="143800"/>
    <n v="28999.999999999996"/>
    <n v="50800"/>
    <n v="143800"/>
  </r>
  <r>
    <d v="2013-05-14T00:00:00"/>
    <x v="3"/>
    <n v="5400"/>
    <n v="5500"/>
    <n v="4500"/>
    <n v="900"/>
    <x v="1"/>
    <x v="0"/>
    <x v="0"/>
    <n v="5"/>
    <n v="21800"/>
    <n v="50800"/>
    <n v="143800"/>
    <n v="29000"/>
    <n v="50800"/>
    <n v="143800"/>
  </r>
  <r>
    <d v="2013-05-14T00:00:00"/>
    <x v="4"/>
    <n v="5800"/>
    <n v="6000"/>
    <n v="4500"/>
    <n v="1300"/>
    <x v="1"/>
    <x v="0"/>
    <x v="0"/>
    <n v="5"/>
    <n v="21800"/>
    <n v="50800"/>
    <n v="143800"/>
    <n v="29000"/>
    <n v="50800"/>
    <n v="143800"/>
  </r>
  <r>
    <d v="2013-05-29T00:00:00"/>
    <x v="5"/>
    <n v="6200"/>
    <n v="6000"/>
    <n v="4500"/>
    <n v="1700"/>
    <x v="1"/>
    <x v="0"/>
    <x v="0"/>
    <n v="5"/>
    <n v="21800"/>
    <n v="50800"/>
    <n v="143800"/>
    <n v="29000"/>
    <n v="50800"/>
    <n v="143800"/>
  </r>
  <r>
    <d v="2013-06-10T00:00:00"/>
    <x v="0"/>
    <n v="6900"/>
    <n v="7500"/>
    <n v="5400"/>
    <n v="1500"/>
    <x v="2"/>
    <x v="0"/>
    <x v="0"/>
    <n v="6"/>
    <n v="14400"/>
    <n v="50800"/>
    <n v="143800"/>
    <n v="21600.000000000004"/>
    <n v="50800"/>
    <n v="143800"/>
  </r>
  <r>
    <d v="2013-06-21T00:00:00"/>
    <x v="1"/>
    <n v="7500"/>
    <n v="7200"/>
    <n v="6500"/>
    <n v="1000"/>
    <x v="2"/>
    <x v="0"/>
    <x v="0"/>
    <n v="6"/>
    <n v="14400"/>
    <n v="50800"/>
    <n v="143800"/>
    <n v="17950"/>
    <n v="50800"/>
    <n v="143800"/>
  </r>
  <r>
    <d v="2013-07-06T00:00:00"/>
    <x v="2"/>
    <n v="8700"/>
    <n v="8500"/>
    <n v="7250"/>
    <n v="1450"/>
    <x v="3"/>
    <x v="1"/>
    <x v="0"/>
    <n v="7"/>
    <n v="8700"/>
    <n v="49100"/>
    <n v="143800"/>
    <n v="10776.470588235294"/>
    <n v="47400"/>
    <n v="143800"/>
  </r>
  <r>
    <d v="2013-08-05T00:00:00"/>
    <x v="3"/>
    <n v="8500"/>
    <n v="8300"/>
    <n v="7100"/>
    <n v="1400"/>
    <x v="4"/>
    <x v="1"/>
    <x v="0"/>
    <n v="8"/>
    <n v="16400"/>
    <n v="49100"/>
    <n v="143800"/>
    <n v="12455.862068965516"/>
    <n v="47400"/>
    <n v="143800"/>
  </r>
  <r>
    <d v="2013-08-19T00:00:00"/>
    <x v="4"/>
    <n v="7900"/>
    <n v="7700"/>
    <n v="6600"/>
    <n v="1300"/>
    <x v="4"/>
    <x v="1"/>
    <x v="0"/>
    <n v="8"/>
    <n v="16400"/>
    <n v="49100"/>
    <n v="143800"/>
    <n v="13667.567567567567"/>
    <n v="47400.000000000007"/>
    <n v="143800"/>
  </r>
  <r>
    <d v="2013-09-04T00:00:00"/>
    <x v="5"/>
    <n v="9100"/>
    <n v="8900"/>
    <n v="7900"/>
    <n v="1200"/>
    <x v="5"/>
    <x v="1"/>
    <x v="0"/>
    <n v="9"/>
    <n v="24000"/>
    <n v="49100"/>
    <n v="143800"/>
    <n v="17651.666666666668"/>
    <n v="47400"/>
    <n v="143800"/>
  </r>
  <r>
    <d v="2013-09-20T00:00:00"/>
    <x v="1"/>
    <n v="5600"/>
    <n v="5800"/>
    <n v="4500"/>
    <n v="1100"/>
    <x v="5"/>
    <x v="1"/>
    <x v="0"/>
    <n v="9"/>
    <n v="24000"/>
    <n v="49100"/>
    <n v="143800"/>
    <n v="19877.911646586344"/>
    <n v="47400"/>
    <n v="143800"/>
  </r>
  <r>
    <d v="2013-09-25T00:00:00"/>
    <x v="2"/>
    <n v="9300"/>
    <n v="9100"/>
    <n v="7500"/>
    <n v="1800"/>
    <x v="5"/>
    <x v="1"/>
    <x v="0"/>
    <n v="9"/>
    <n v="24000"/>
    <n v="49100"/>
    <n v="143800"/>
    <n v="21138.050314465407"/>
    <n v="47400"/>
    <n v="143800"/>
  </r>
  <r>
    <d v="2013-10-15T00:00:00"/>
    <x v="3"/>
    <n v="8800"/>
    <n v="9350"/>
    <n v="7100"/>
    <n v="1700"/>
    <x v="6"/>
    <x v="2"/>
    <x v="0"/>
    <n v="10"/>
    <n v="8800"/>
    <n v="43900"/>
    <n v="143800"/>
    <n v="17951.744186046511"/>
    <n v="43258.139534883725"/>
    <n v="143800"/>
  </r>
  <r>
    <d v="2013-11-05T00:00:00"/>
    <x v="4"/>
    <n v="9100"/>
    <n v="9200"/>
    <n v="7850"/>
    <n v="1250"/>
    <x v="7"/>
    <x v="2"/>
    <x v="0"/>
    <n v="11"/>
    <n v="25600"/>
    <n v="43900"/>
    <n v="143800"/>
    <n v="20556.130108423687"/>
    <n v="42312.903225806447"/>
    <n v="143800"/>
  </r>
  <r>
    <d v="2013-11-26T00:00:00"/>
    <x v="5"/>
    <n v="9000"/>
    <n v="10000"/>
    <n v="7575"/>
    <n v="1425"/>
    <x v="7"/>
    <x v="2"/>
    <x v="0"/>
    <n v="11"/>
    <n v="25600"/>
    <n v="43900"/>
    <n v="143800"/>
    <n v="21997.139141742522"/>
    <n v="41811.111111111109"/>
    <n v="143800"/>
  </r>
  <r>
    <d v="2013-11-30T00:00:00"/>
    <x v="5"/>
    <n v="7500"/>
    <n v="8000"/>
    <n v="5850"/>
    <n v="1650"/>
    <x v="7"/>
    <x v="2"/>
    <x v="0"/>
    <n v="11"/>
    <n v="25600"/>
    <n v="43900"/>
    <n v="143800"/>
    <n v="22917.634523175278"/>
    <n v="41500"/>
    <n v="143800"/>
  </r>
  <r>
    <d v="2013-12-11T00:00:00"/>
    <x v="1"/>
    <n v="9500"/>
    <n v="9200"/>
    <n v="8500"/>
    <n v="1000"/>
    <x v="8"/>
    <x v="2"/>
    <x v="0"/>
    <n v="12"/>
    <n v="9500"/>
    <n v="43900"/>
    <n v="143800"/>
    <n v="20504.314720812181"/>
    <n v="41288.23529411765"/>
    <n v="143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Data" cacheId="0" applyNumberFormats="0" applyBorderFormats="0" applyFontFormats="0" applyPatternFormats="0" applyAlignmentFormats="0" applyWidthHeightFormats="1" dataCaption="Values" updatedVersion="5" minRefreshableVersion="3" showDrill="0" fieldPrintTitles="1" itemPrintTitles="1" createdVersion="4" indent="0" compact="0" compactData="0" multipleFieldFilters="0">
  <location ref="B5:F28" firstHeaderRow="1" firstDataRow="1" firstDataCol="4"/>
  <pivotFields count="16">
    <pivotField compact="0" numFmtId="14" outline="0" showAll="0" defaultSubtotal="0"/>
    <pivotField axis="axisRow" compact="0" outline="0" showAll="0">
      <items count="10">
        <item m="1" x="6"/>
        <item x="2"/>
        <item x="1"/>
        <item m="1" x="8"/>
        <item m="1" x="7"/>
        <item x="5"/>
        <item x="0"/>
        <item x="3"/>
        <item x="4"/>
        <item t="default"/>
      </items>
    </pivotField>
    <pivotField dataField="1"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axis="axisRow" compact="0" numFmtId="166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numFmtId="168" outline="0" showAll="0">
      <items count="4">
        <item x="0"/>
        <item x="1"/>
        <item x="2"/>
        <item t="default"/>
      </items>
    </pivotField>
    <pivotField axis="axisRow" compact="0" outline="0" showAll="0">
      <items count="2">
        <item x="0"/>
        <item t="default"/>
      </items>
    </pivotField>
    <pivotField compact="0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</pivotFields>
  <rowFields count="4">
    <field x="8"/>
    <field x="7"/>
    <field x="6"/>
    <field x="1"/>
  </rowFields>
  <rowItems count="23">
    <i>
      <x/>
      <x/>
      <x/>
      <x v="2"/>
    </i>
    <i r="3">
      <x v="6"/>
    </i>
    <i r="2">
      <x v="1"/>
      <x v="1"/>
    </i>
    <i r="3">
      <x v="5"/>
    </i>
    <i r="3">
      <x v="7"/>
    </i>
    <i r="3">
      <x v="8"/>
    </i>
    <i r="2">
      <x v="2"/>
      <x v="2"/>
    </i>
    <i r="3">
      <x v="6"/>
    </i>
    <i t="default" r="1">
      <x/>
    </i>
    <i r="1">
      <x v="1"/>
      <x v="3"/>
      <x v="1"/>
    </i>
    <i r="2">
      <x v="4"/>
      <x v="7"/>
    </i>
    <i r="3">
      <x v="8"/>
    </i>
    <i r="2">
      <x v="5"/>
      <x v="1"/>
    </i>
    <i r="3">
      <x v="2"/>
    </i>
    <i r="3">
      <x v="5"/>
    </i>
    <i t="default" r="1">
      <x v="1"/>
    </i>
    <i r="1">
      <x v="2"/>
      <x v="6"/>
      <x v="7"/>
    </i>
    <i r="2">
      <x v="7"/>
      <x v="5"/>
    </i>
    <i r="3">
      <x v="8"/>
    </i>
    <i r="2">
      <x v="8"/>
      <x v="2"/>
    </i>
    <i t="default" r="1">
      <x v="2"/>
    </i>
    <i t="default">
      <x/>
    </i>
    <i t="grand">
      <x/>
    </i>
  </rowItems>
  <colItems count="1">
    <i/>
  </colItems>
  <dataFields count="1">
    <dataField name="Summa  / SUMMA" fld="2" baseField="0" baseItem="0"/>
  </dataFields>
  <formats count="27">
    <format dxfId="29">
      <pivotArea dataOnly="0" labelOnly="1" outline="0" axis="axisValues" fieldPosition="0"/>
    </format>
    <format dxfId="28">
      <pivotArea dataOnly="0" labelOnly="1" outline="0" axis="axisValues" fieldPosition="0"/>
    </format>
    <format dxfId="27">
      <pivotArea dataOnly="0" labelOnly="1" outline="0" fieldPosition="0">
        <references count="1">
          <reference field="8" count="0"/>
        </references>
      </pivotArea>
    </format>
    <format dxfId="26">
      <pivotArea dataOnly="0" labelOnly="1" outline="0" fieldPosition="0">
        <references count="1">
          <reference field="8" count="0"/>
        </references>
      </pivotArea>
    </format>
    <format dxfId="25">
      <pivotArea type="all" dataOnly="0" outline="0" fieldPosition="0"/>
    </format>
    <format dxfId="24">
      <pivotArea outline="0" collapsedLevelsAreSubtotals="1" fieldPosition="0">
        <references count="1">
          <reference field="8" count="0" selected="0" defaultSubtotal="1"/>
        </references>
      </pivotArea>
    </format>
    <format dxfId="23">
      <pivotArea grandRow="1" outline="0" collapsedLevelsAreSubtotals="1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dataOnly="0" labelOnly="1" outline="0" fieldPosition="0">
        <references count="1">
          <reference field="8" count="0"/>
        </references>
      </pivotArea>
    </format>
    <format dxfId="18">
      <pivotArea dataOnly="0" labelOnly="1" outline="0" fieldPosition="0">
        <references count="1">
          <reference field="8" count="0" defaultSubtotal="1"/>
        </references>
      </pivotArea>
    </format>
    <format dxfId="17">
      <pivotArea dataOnly="0" labelOnly="1" grandRow="1" outline="0" fieldPosition="0"/>
    </format>
    <format dxfId="16">
      <pivotArea dataOnly="0" labelOnly="1" outline="0" fieldPosition="0">
        <references count="2">
          <reference field="7" count="0"/>
          <reference field="8" count="0" selected="0"/>
        </references>
      </pivotArea>
    </format>
    <format dxfId="15">
      <pivotArea dataOnly="0" labelOnly="1" outline="0" fieldPosition="0">
        <references count="2">
          <reference field="7" count="0" defaultSubtotal="1"/>
          <reference field="8" count="0" selected="0"/>
        </references>
      </pivotArea>
    </format>
    <format dxfId="14">
      <pivotArea dataOnly="0" labelOnly="1" outline="0" fieldPosition="0">
        <references count="3">
          <reference field="6" count="3">
            <x v="0"/>
            <x v="1"/>
            <x v="2"/>
          </reference>
          <reference field="7" count="1" selected="0">
            <x v="0"/>
          </reference>
          <reference field="8" count="0" selected="0"/>
        </references>
      </pivotArea>
    </format>
    <format dxfId="13">
      <pivotArea dataOnly="0" labelOnly="1" outline="0" fieldPosition="0">
        <references count="3">
          <reference field="6" count="3">
            <x v="3"/>
            <x v="4"/>
            <x v="5"/>
          </reference>
          <reference field="7" count="1" selected="0">
            <x v="1"/>
          </reference>
          <reference field="8" count="0" selected="0"/>
        </references>
      </pivotArea>
    </format>
    <format dxfId="12">
      <pivotArea dataOnly="0" labelOnly="1" outline="0" fieldPosition="0">
        <references count="3">
          <reference field="6" count="3">
            <x v="6"/>
            <x v="7"/>
            <x v="8"/>
          </reference>
          <reference field="7" count="1" selected="0">
            <x v="2"/>
          </reference>
          <reference field="8" count="0" selected="0"/>
        </references>
      </pivotArea>
    </format>
    <format dxfId="11">
      <pivotArea dataOnly="0" labelOnly="1" outline="0" fieldPosition="0">
        <references count="4">
          <reference field="1" count="2">
            <x v="2"/>
            <x v="6"/>
          </reference>
          <reference field="6" count="1" selected="0">
            <x v="0"/>
          </reference>
          <reference field="7" count="1" selected="0">
            <x v="0"/>
          </reference>
          <reference field="8" count="0" selected="0"/>
        </references>
      </pivotArea>
    </format>
    <format dxfId="10">
      <pivotArea dataOnly="0" labelOnly="1" outline="0" fieldPosition="0">
        <references count="4">
          <reference field="1" count="4">
            <x v="1"/>
            <x v="5"/>
            <x v="7"/>
            <x v="8"/>
          </reference>
          <reference field="6" count="1" selected="0">
            <x v="1"/>
          </reference>
          <reference field="7" count="1" selected="0">
            <x v="0"/>
          </reference>
          <reference field="8" count="0" selected="0"/>
        </references>
      </pivotArea>
    </format>
    <format dxfId="9">
      <pivotArea dataOnly="0" labelOnly="1" outline="0" fieldPosition="0">
        <references count="4">
          <reference field="1" count="2">
            <x v="2"/>
            <x v="6"/>
          </reference>
          <reference field="6" count="1" selected="0">
            <x v="2"/>
          </reference>
          <reference field="7" count="1" selected="0">
            <x v="0"/>
          </reference>
          <reference field="8" count="0" selected="0"/>
        </references>
      </pivotArea>
    </format>
    <format dxfId="8">
      <pivotArea dataOnly="0" labelOnly="1" outline="0" fieldPosition="0">
        <references count="4">
          <reference field="1" count="1">
            <x v="1"/>
          </reference>
          <reference field="6" count="1" selected="0">
            <x v="3"/>
          </reference>
          <reference field="7" count="1" selected="0">
            <x v="1"/>
          </reference>
          <reference field="8" count="0" selected="0"/>
        </references>
      </pivotArea>
    </format>
    <format dxfId="7">
      <pivotArea dataOnly="0" labelOnly="1" outline="0" fieldPosition="0">
        <references count="4">
          <reference field="1" count="2">
            <x v="7"/>
            <x v="8"/>
          </reference>
          <reference field="6" count="1" selected="0">
            <x v="4"/>
          </reference>
          <reference field="7" count="1" selected="0">
            <x v="1"/>
          </reference>
          <reference field="8" count="0" selected="0"/>
        </references>
      </pivotArea>
    </format>
    <format dxfId="6">
      <pivotArea dataOnly="0" labelOnly="1" outline="0" fieldPosition="0">
        <references count="4">
          <reference field="1" count="3">
            <x v="1"/>
            <x v="2"/>
            <x v="5"/>
          </reference>
          <reference field="6" count="1" selected="0">
            <x v="5"/>
          </reference>
          <reference field="7" count="1" selected="0">
            <x v="1"/>
          </reference>
          <reference field="8" count="0" selected="0"/>
        </references>
      </pivotArea>
    </format>
    <format dxfId="5">
      <pivotArea dataOnly="0" labelOnly="1" outline="0" fieldPosition="0">
        <references count="4">
          <reference field="1" count="1">
            <x v="7"/>
          </reference>
          <reference field="6" count="1" selected="0">
            <x v="6"/>
          </reference>
          <reference field="7" count="1" selected="0">
            <x v="2"/>
          </reference>
          <reference field="8" count="0" selected="0"/>
        </references>
      </pivotArea>
    </format>
    <format dxfId="4">
      <pivotArea dataOnly="0" labelOnly="1" outline="0" fieldPosition="0">
        <references count="4">
          <reference field="1" count="2">
            <x v="5"/>
            <x v="8"/>
          </reference>
          <reference field="6" count="1" selected="0">
            <x v="7"/>
          </reference>
          <reference field="7" count="1" selected="0">
            <x v="2"/>
          </reference>
          <reference field="8" count="0" selected="0"/>
        </references>
      </pivotArea>
    </format>
    <format dxfId="3">
      <pivotArea dataOnly="0" labelOnly="1" outline="0" fieldPosition="0">
        <references count="4">
          <reference field="1" count="1">
            <x v="2"/>
          </reference>
          <reference field="6" count="1" selected="0">
            <x v="8"/>
          </reference>
          <reference field="7" count="1" selected="0">
            <x v="2"/>
          </reference>
          <reference field="8" count="0" selected="0"/>
        </references>
      </pivotArea>
    </format>
  </formats>
  <pivotTableStyleInfo name="Monthly Sales Report PivotTable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Monthly Sales Report PivotTable" altTextSummary="A PivotTable showing the monthly sales, grouped by Year, Quarter, Month, and Company along with the Total Sales for each group." hideValuesRow="1"/>
    </ext>
  </extLst>
</pivotTableDefinition>
</file>

<file path=xl/tables/table1.xml><?xml version="1.0" encoding="utf-8"?>
<table xmlns="http://schemas.openxmlformats.org/spreadsheetml/2006/main" id="1" name="tblData" displayName="tblData" ref="B5:Q24" totalsRowShown="0" headerRowDxfId="51" dataDxfId="50">
  <autoFilter ref="B5:Q24"/>
  <tableColumns count="16">
    <tableColumn id="1" name="PÄIVÄMÄÄRÄ" dataDxfId="49"/>
    <tableColumn id="2" name="YRITYS" dataDxfId="48"/>
    <tableColumn id="3" name="SUMMA" dataDxfId="47"/>
    <tableColumn id="4" name="SUUNNITELTU" dataDxfId="46"/>
    <tableColumn id="5" name="KULUT" dataDxfId="45"/>
    <tableColumn id="16" name="TUOTTO" dataDxfId="44">
      <calculatedColumnFormula>tblData[[#This Row],[SUMMA]]-tblData[[#This Row],[KULUT]]</calculatedColumnFormula>
    </tableColumn>
    <tableColumn id="6" name="KUUKAUSI" dataDxfId="43">
      <calculatedColumnFormula>DATE(YEAR('Tietojen tallentaminen'!$B6),MONTH('Tietojen tallentaminen'!$B6),1)</calculatedColumnFormula>
    </tableColumn>
    <tableColumn id="7" name="NELJÄNNES" dataDxfId="42">
      <calculatedColumnFormula>LOOKUP(MONTH('Tietojen tallentaminen'!$H6),{1,1;2,1;3,1;4,2;5,2;6,2;7,3;8,3;9,3;10,4;11,4;12,4})</calculatedColumnFormula>
    </tableColumn>
    <tableColumn id="8" name="VUOSI" dataDxfId="41">
      <calculatedColumnFormula>YEAR('Tietojen tallentaminen'!$B6)</calculatedColumnFormula>
    </tableColumn>
    <tableColumn id="12" name="KUUKAUDEN NUMERO (PIILOTA)" dataDxfId="40">
      <calculatedColumnFormula>MONTH(tblData[[#This Row],[PÄIVÄMÄÄRÄ]])</calculatedColumnFormula>
    </tableColumn>
    <tableColumn id="9" name="KUUKAUSI " dataDxfId="39">
      <calculatedColumnFormula>SUMIFS(tblData[SUMMA],tblData[PÄIVÄMÄÄRÄ],"&gt;="&amp;EOMONTH(tblData[[#This Row],[PÄIVÄMÄÄRÄ]],-1)+1,tblData[PÄIVÄMÄÄRÄ],"&lt;="&amp;EOMONTH(tblData[[#This Row],[PÄIVÄMÄÄRÄ]],0))</calculatedColumnFormula>
    </tableColumn>
    <tableColumn id="10" name="NELJÄNNES " dataDxfId="38">
      <calculatedColumnFormula>SUMIFS(tblData[SUMMA],tblData[PÄIVÄMÄÄRÄ],"&gt;="&amp;DATE(YEAR(tblData[[#This Row],[PÄIVÄMÄÄRÄ]]),1,1),tblData[PÄIVÄMÄÄRÄ],"&lt;="&amp;DATE(YEAR(tblData[[#This Row],[PÄIVÄMÄÄRÄ]]),12,31),tblData[NELJÄNNES],tblData[[#This Row],[NELJÄNNES]])</calculatedColumnFormula>
    </tableColumn>
    <tableColumn id="11" name="VUOSITTAIN " dataDxfId="37">
      <calculatedColumnFormula>SUMIFS(tblData[SUMMA],tblData[PÄIVÄMÄÄRÄ],"&gt;="&amp;DATE(YEAR(tblData[[#This Row],[PÄIVÄMÄÄRÄ]]),1,1),tblData[PÄIVÄMÄÄRÄ],"&lt;="&amp;DATE(YEAR(tblData[[#This Row],[PÄIVÄMÄÄRÄ]]),12,31))</calculatedColumnFormula>
    </tableColumn>
    <tableColumn id="13" name="KUUKAUSI  " dataDxfId="36">
      <calculatedColumnFormula>IFERROR(TREND($L$6:INDEX($L:$L,ROW(),1),$K$6:INDEX($K:$K,ROW(),1),IF(MONTH(tblData[[#This Row],[PÄIVÄMÄÄRÄ]])=12,13,MONTH(tblData[[#This Row],[PÄIVÄMÄÄRÄ]])+1)),"")</calculatedColumnFormula>
    </tableColumn>
    <tableColumn id="14" name="NELJÄNNES  " dataDxfId="35">
      <calculatedColumnFormula>IFERROR(TREND($M$6:INDEX($M:$M,ROW(),1),$I$6:INDEX($I:$I,ROW(),1),IF(tblData[[#This Row],[NELJÄNNES]]=4,5,tblData[[#This Row],[NELJÄNNES]]+1)),"")</calculatedColumnFormula>
    </tableColumn>
    <tableColumn id="15" name="VUOSI  " dataDxfId="34">
      <calculatedColumnFormula>IFERROR(TREND($N$6:INDEX($N:$N,ROW(),1),$J$6:INDEX($J:$J,ROW(),1),tblData[[#This Row],[VUOSI]]+1),"")</calculatedColumnFormula>
    </tableColumn>
  </tableColumns>
  <tableStyleInfo name="Monthly Sales Report Table Style" showFirstColumn="0" showLastColumn="0" showRowStripes="0" showColumnStripes="0"/>
  <extLst>
    <ext xmlns:x14="http://schemas.microsoft.com/office/spreadsheetml/2009/9/main" uri="{504A1905-F514-4f6f-8877-14C23A59335A}">
      <x14:table altText="Kuukausitietojen kirjaustaulukko" altTextSummary="Kirjoita tähän taulukkoon kuukausitiedot, kuten Päivämäärä, Yritys, Summa, Suunniteltu, Kustannus, Tuotto, Kuukausi, Vuosineljännes ja Vuosi. Järjestelmä laskee nykyiset tiedot ja ennusteet."/>
    </ext>
  </extLst>
</table>
</file>

<file path=xl/theme/theme1.xml><?xml version="1.0" encoding="utf-8"?>
<a:theme xmlns:a="http://schemas.openxmlformats.org/drawingml/2006/main" name="Office Theme">
  <a:themeElements>
    <a:clrScheme name="Monthly Sales Repor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Sales Repor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Q24"/>
  <sheetViews>
    <sheetView showGridLines="0" tabSelected="1" zoomScaleNormal="100" workbookViewId="0"/>
  </sheetViews>
  <sheetFormatPr defaultRowHeight="17.25" customHeight="1" x14ac:dyDescent="0.2"/>
  <cols>
    <col min="1" max="1" width="2" style="9" customWidth="1"/>
    <col min="2" max="2" width="19.33203125" style="9" customWidth="1"/>
    <col min="3" max="3" width="28.5" style="9" customWidth="1"/>
    <col min="4" max="4" width="15.6640625" style="9" customWidth="1"/>
    <col min="5" max="5" width="17.5" style="9" customWidth="1"/>
    <col min="6" max="6" width="12.83203125" style="9" customWidth="1"/>
    <col min="7" max="7" width="16.83203125" style="9" customWidth="1"/>
    <col min="8" max="8" width="14.33203125" style="9" customWidth="1"/>
    <col min="9" max="9" width="17.5" style="9" customWidth="1"/>
    <col min="10" max="10" width="12.83203125" style="9" customWidth="1"/>
    <col min="11" max="11" width="28" style="9" hidden="1" customWidth="1"/>
    <col min="12" max="12" width="13.83203125" style="9" customWidth="1"/>
    <col min="13" max="14" width="16.33203125" style="9" customWidth="1"/>
    <col min="15" max="15" width="14.1640625" style="9" customWidth="1"/>
    <col min="16" max="16" width="16.6640625" style="9" customWidth="1"/>
    <col min="17" max="17" width="12.6640625" style="9" customWidth="1"/>
    <col min="18" max="16384" width="9.33203125" style="9"/>
  </cols>
  <sheetData>
    <row r="1" spans="2:17" s="1" customFormat="1" ht="11.25" customHeight="1" x14ac:dyDescent="0.2">
      <c r="J1" s="1">
        <f>365*2</f>
        <v>730</v>
      </c>
    </row>
    <row r="2" spans="2:17" s="1" customFormat="1" ht="33.75" customHeight="1" x14ac:dyDescent="0.2">
      <c r="B2" s="33" t="s">
        <v>54</v>
      </c>
    </row>
    <row r="3" spans="2:17" s="1" customFormat="1" ht="17.25" customHeight="1" x14ac:dyDescent="0.2">
      <c r="L3" s="2" t="s">
        <v>21</v>
      </c>
      <c r="M3" s="3"/>
      <c r="N3" s="3"/>
      <c r="O3" s="2" t="s">
        <v>22</v>
      </c>
      <c r="P3" s="3"/>
      <c r="Q3" s="3"/>
    </row>
    <row r="4" spans="2:17" s="1" customFormat="1" ht="11.25" customHeight="1" x14ac:dyDescent="0.2">
      <c r="L4" s="4"/>
      <c r="M4" s="5"/>
      <c r="N4" s="6"/>
      <c r="O4" s="4"/>
      <c r="P4" s="5"/>
      <c r="Q4" s="6"/>
    </row>
    <row r="5" spans="2:17" ht="17.25" customHeight="1" x14ac:dyDescent="0.2">
      <c r="B5" s="7" t="s">
        <v>6</v>
      </c>
      <c r="C5" s="7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28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</row>
    <row r="6" spans="2:17" ht="17.25" customHeight="1" x14ac:dyDescent="0.2">
      <c r="B6" s="10">
        <f>40657+(365*2)</f>
        <v>41387</v>
      </c>
      <c r="C6" s="11" t="s">
        <v>24</v>
      </c>
      <c r="D6" s="12">
        <v>6400</v>
      </c>
      <c r="E6" s="12">
        <v>6200</v>
      </c>
      <c r="F6" s="12">
        <v>4450</v>
      </c>
      <c r="G6" s="13">
        <f>tblData[[#This Row],[SUMMA]]-tblData[[#This Row],[KULUT]]</f>
        <v>1950</v>
      </c>
      <c r="H6" s="14">
        <f>DATE(YEAR('Tietojen tallentaminen'!$B6),MONTH('Tietojen tallentaminen'!$B6),1)</f>
        <v>41365</v>
      </c>
      <c r="I6" s="15">
        <f>LOOKUP(MONTH('Tietojen tallentaminen'!$H6),{1,1;2,1;3,1;4,2;5,2;6,2;7,3;8,3;9,3;10,4;11,4;12,4})</f>
        <v>2</v>
      </c>
      <c r="J6" s="16">
        <f>YEAR('Tietojen tallentaminen'!$B6)</f>
        <v>2013</v>
      </c>
      <c r="K6" s="17">
        <f>MONTH(tblData[[#This Row],[PÄIVÄMÄÄRÄ]])</f>
        <v>4</v>
      </c>
      <c r="L6" s="18">
        <f>SUMIFS(tblData[SUMMA],tblData[PÄIVÄMÄÄRÄ],"&gt;="&amp;EOMONTH(tblData[[#This Row],[PÄIVÄMÄÄRÄ]],-1)+1,tblData[PÄIVÄMÄÄRÄ],"&lt;="&amp;EOMONTH(tblData[[#This Row],[PÄIVÄMÄÄRÄ]],0))</f>
        <v>14600</v>
      </c>
      <c r="M6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50800</v>
      </c>
      <c r="N6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6" s="19">
        <f>IFERROR(TREND($L$6:INDEX($L:$L,ROW(),1),$K$6:INDEX($K:$K,ROW(),1),IF(MONTH(tblData[[#This Row],[PÄIVÄMÄÄRÄ]])=12,13,MONTH(tblData[[#This Row],[PÄIVÄMÄÄRÄ]])+1)),"")</f>
        <v>14600</v>
      </c>
      <c r="P6" s="19">
        <f>IFERROR(TREND($M$6:INDEX($M:$M,ROW(),1),$I$6:INDEX($I:$I,ROW(),1),IF(tblData[[#This Row],[NELJÄNNES]]=4,5,tblData[[#This Row],[NELJÄNNES]]+1)),"")</f>
        <v>50800</v>
      </c>
      <c r="Q6" s="19">
        <f>IFERROR(TREND($N$6:INDEX($N:$N,ROW(),1),$J$6:INDEX($J:$J,ROW(),1),tblData[[#This Row],[VUOSI]]+1),"")</f>
        <v>143800</v>
      </c>
    </row>
    <row r="7" spans="2:17" ht="17.25" customHeight="1" x14ac:dyDescent="0.2">
      <c r="B7" s="10">
        <f>40659+(365*2)</f>
        <v>41389</v>
      </c>
      <c r="C7" s="11" t="s">
        <v>0</v>
      </c>
      <c r="D7" s="12">
        <v>8200</v>
      </c>
      <c r="E7" s="12">
        <v>8000</v>
      </c>
      <c r="F7" s="12">
        <v>6400</v>
      </c>
      <c r="G7" s="13">
        <f>tblData[[#This Row],[SUMMA]]-tblData[[#This Row],[KULUT]]</f>
        <v>1800</v>
      </c>
      <c r="H7" s="14">
        <f>DATE(YEAR('Tietojen tallentaminen'!$B7),MONTH('Tietojen tallentaminen'!$B7),1)</f>
        <v>41365</v>
      </c>
      <c r="I7" s="15">
        <f>LOOKUP(MONTH('Tietojen tallentaminen'!$H7),{1,1;2,1;3,1;4,2;5,2;6,2;7,3;8,3;9,3;10,4;11,4;12,4})</f>
        <v>2</v>
      </c>
      <c r="J7" s="16">
        <f>YEAR('Tietojen tallentaminen'!$B7)</f>
        <v>2013</v>
      </c>
      <c r="K7" s="17">
        <f>MONTH(tblData[[#This Row],[PÄIVÄMÄÄRÄ]])</f>
        <v>4</v>
      </c>
      <c r="L7" s="18">
        <f>SUMIFS(tblData[SUMMA],tblData[PÄIVÄMÄÄRÄ],"&gt;="&amp;EOMONTH(tblData[[#This Row],[PÄIVÄMÄÄRÄ]],-1)+1,tblData[PÄIVÄMÄÄRÄ],"&lt;="&amp;EOMONTH(tblData[[#This Row],[PÄIVÄMÄÄRÄ]],0))</f>
        <v>14600</v>
      </c>
      <c r="M7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50800</v>
      </c>
      <c r="N7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7" s="19">
        <f>IFERROR(TREND($L$6:INDEX($L:$L,ROW(),1),$K$6:INDEX($K:$K,ROW(),1),IF(MONTH(tblData[[#This Row],[PÄIVÄMÄÄRÄ]])=12,13,MONTH(tblData[[#This Row],[PÄIVÄMÄÄRÄ]])+1)),"")</f>
        <v>14600</v>
      </c>
      <c r="P7" s="19">
        <f>IFERROR(TREND($M$6:INDEX($M:$M,ROW(),1),$I$6:INDEX($I:$I,ROW(),1),IF(tblData[[#This Row],[NELJÄNNES]]=4,5,tblData[[#This Row],[NELJÄNNES]]+1)),"")</f>
        <v>50800</v>
      </c>
      <c r="Q7" s="19">
        <f>IFERROR(TREND($N$6:INDEX($N:$N,ROW(),1),$J$6:INDEX($J:$J,ROW(),1),tblData[[#This Row],[VUOSI]]+1),"")</f>
        <v>143800</v>
      </c>
    </row>
    <row r="8" spans="2:17" ht="17.25" customHeight="1" x14ac:dyDescent="0.2">
      <c r="B8" s="10">
        <f>40671+(365*2)</f>
        <v>41401</v>
      </c>
      <c r="C8" s="11" t="s">
        <v>1</v>
      </c>
      <c r="D8" s="12">
        <v>4400</v>
      </c>
      <c r="E8" s="12">
        <v>4200</v>
      </c>
      <c r="F8" s="12">
        <v>2600</v>
      </c>
      <c r="G8" s="13">
        <f>tblData[[#This Row],[SUMMA]]-tblData[[#This Row],[KULUT]]</f>
        <v>1800</v>
      </c>
      <c r="H8" s="14">
        <f>DATE(YEAR('Tietojen tallentaminen'!$B8),MONTH('Tietojen tallentaminen'!$B8),1)</f>
        <v>41395</v>
      </c>
      <c r="I8" s="15">
        <f>LOOKUP(MONTH('Tietojen tallentaminen'!$H8),{1,1;2,1;3,1;4,2;5,2;6,2;7,3;8,3;9,3;10,4;11,4;12,4})</f>
        <v>2</v>
      </c>
      <c r="J8" s="16">
        <f>YEAR('Tietojen tallentaminen'!$B8)</f>
        <v>2013</v>
      </c>
      <c r="K8" s="17">
        <f>MONTH(tblData[[#This Row],[PÄIVÄMÄÄRÄ]])</f>
        <v>5</v>
      </c>
      <c r="L8" s="18">
        <f>SUMIFS(tblData[SUMMA],tblData[PÄIVÄMÄÄRÄ],"&gt;="&amp;EOMONTH(tblData[[#This Row],[PÄIVÄMÄÄRÄ]],-1)+1,tblData[PÄIVÄMÄÄRÄ],"&lt;="&amp;EOMONTH(tblData[[#This Row],[PÄIVÄMÄÄRÄ]],0))</f>
        <v>21800</v>
      </c>
      <c r="M8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50800</v>
      </c>
      <c r="N8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8" s="19">
        <f>IFERROR(TREND($L$6:INDEX($L:$L,ROW(),1),$K$6:INDEX($K:$K,ROW(),1),IF(MONTH(tblData[[#This Row],[PÄIVÄMÄÄRÄ]])=12,13,MONTH(tblData[[#This Row],[PÄIVÄMÄÄRÄ]])+1)),"")</f>
        <v>28999.999999999996</v>
      </c>
      <c r="P8" s="19">
        <f>IFERROR(TREND($M$6:INDEX($M:$M,ROW(),1),$I$6:INDEX($I:$I,ROW(),1),IF(tblData[[#This Row],[NELJÄNNES]]=4,5,tblData[[#This Row],[NELJÄNNES]]+1)),"")</f>
        <v>50800</v>
      </c>
      <c r="Q8" s="19">
        <f>IFERROR(TREND($N$6:INDEX($N:$N,ROW(),1),$J$6:INDEX($J:$J,ROW(),1),tblData[[#This Row],[VUOSI]]+1),"")</f>
        <v>143800</v>
      </c>
    </row>
    <row r="9" spans="2:17" ht="17.25" customHeight="1" x14ac:dyDescent="0.2">
      <c r="B9" s="10">
        <f>40678+(365*2)</f>
        <v>41408</v>
      </c>
      <c r="C9" s="11" t="s">
        <v>25</v>
      </c>
      <c r="D9" s="12">
        <v>5400</v>
      </c>
      <c r="E9" s="12">
        <v>5500</v>
      </c>
      <c r="F9" s="12">
        <v>4500</v>
      </c>
      <c r="G9" s="13">
        <f>tblData[[#This Row],[SUMMA]]-tblData[[#This Row],[KULUT]]</f>
        <v>900</v>
      </c>
      <c r="H9" s="14">
        <f>DATE(YEAR('Tietojen tallentaminen'!$B9),MONTH('Tietojen tallentaminen'!$B9),1)</f>
        <v>41395</v>
      </c>
      <c r="I9" s="15">
        <f>LOOKUP(MONTH('Tietojen tallentaminen'!$H9),{1,1;2,1;3,1;4,2;5,2;6,2;7,3;8,3;9,3;10,4;11,4;12,4})</f>
        <v>2</v>
      </c>
      <c r="J9" s="16">
        <f>YEAR('Tietojen tallentaminen'!$B9)</f>
        <v>2013</v>
      </c>
      <c r="K9" s="17">
        <f>MONTH(tblData[[#This Row],[PÄIVÄMÄÄRÄ]])</f>
        <v>5</v>
      </c>
      <c r="L9" s="18">
        <f>SUMIFS(tblData[SUMMA],tblData[PÄIVÄMÄÄRÄ],"&gt;="&amp;EOMONTH(tblData[[#This Row],[PÄIVÄMÄÄRÄ]],-1)+1,tblData[PÄIVÄMÄÄRÄ],"&lt;="&amp;EOMONTH(tblData[[#This Row],[PÄIVÄMÄÄRÄ]],0))</f>
        <v>21800</v>
      </c>
      <c r="M9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50800</v>
      </c>
      <c r="N9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9" s="19">
        <f>IFERROR(TREND($L$6:INDEX($L:$L,ROW(),1),$K$6:INDEX($K:$K,ROW(),1),IF(MONTH(tblData[[#This Row],[PÄIVÄMÄÄRÄ]])=12,13,MONTH(tblData[[#This Row],[PÄIVÄMÄÄRÄ]])+1)),"")</f>
        <v>29000</v>
      </c>
      <c r="P9" s="19">
        <f>IFERROR(TREND($M$6:INDEX($M:$M,ROW(),1),$I$6:INDEX($I:$I,ROW(),1),IF(tblData[[#This Row],[NELJÄNNES]]=4,5,tblData[[#This Row],[NELJÄNNES]]+1)),"")</f>
        <v>50800</v>
      </c>
      <c r="Q9" s="19">
        <f>IFERROR(TREND($N$6:INDEX($N:$N,ROW(),1),$J$6:INDEX($J:$J,ROW(),1),tblData[[#This Row],[VUOSI]]+1),"")</f>
        <v>143800</v>
      </c>
    </row>
    <row r="10" spans="2:17" ht="17.25" customHeight="1" x14ac:dyDescent="0.2">
      <c r="B10" s="10">
        <f>40678+(365*2)</f>
        <v>41408</v>
      </c>
      <c r="C10" s="11" t="s">
        <v>26</v>
      </c>
      <c r="D10" s="12">
        <v>5800</v>
      </c>
      <c r="E10" s="12">
        <v>6000</v>
      </c>
      <c r="F10" s="12">
        <v>4500</v>
      </c>
      <c r="G10" s="13">
        <f>tblData[[#This Row],[SUMMA]]-tblData[[#This Row],[KULUT]]</f>
        <v>1300</v>
      </c>
      <c r="H10" s="14">
        <f>DATE(YEAR('Tietojen tallentaminen'!$B10),MONTH('Tietojen tallentaminen'!$B10),1)</f>
        <v>41395</v>
      </c>
      <c r="I10" s="15">
        <f>LOOKUP(MONTH('Tietojen tallentaminen'!$H10),{1,1;2,1;3,1;4,2;5,2;6,2;7,3;8,3;9,3;10,4;11,4;12,4})</f>
        <v>2</v>
      </c>
      <c r="J10" s="16">
        <f>YEAR('Tietojen tallentaminen'!$B10)</f>
        <v>2013</v>
      </c>
      <c r="K10" s="17">
        <f>MONTH(tblData[[#This Row],[PÄIVÄMÄÄRÄ]])</f>
        <v>5</v>
      </c>
      <c r="L10" s="18">
        <f>SUMIFS(tblData[SUMMA],tblData[PÄIVÄMÄÄRÄ],"&gt;="&amp;EOMONTH(tblData[[#This Row],[PÄIVÄMÄÄRÄ]],-1)+1,tblData[PÄIVÄMÄÄRÄ],"&lt;="&amp;EOMONTH(tblData[[#This Row],[PÄIVÄMÄÄRÄ]],0))</f>
        <v>21800</v>
      </c>
      <c r="M10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50800</v>
      </c>
      <c r="N10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10" s="19">
        <f>IFERROR(TREND($L$6:INDEX($L:$L,ROW(),1),$K$6:INDEX($K:$K,ROW(),1),IF(MONTH(tblData[[#This Row],[PÄIVÄMÄÄRÄ]])=12,13,MONTH(tblData[[#This Row],[PÄIVÄMÄÄRÄ]])+1)),"")</f>
        <v>29000</v>
      </c>
      <c r="P10" s="19">
        <f>IFERROR(TREND($M$6:INDEX($M:$M,ROW(),1),$I$6:INDEX($I:$I,ROW(),1),IF(tblData[[#This Row],[NELJÄNNES]]=4,5,tblData[[#This Row],[NELJÄNNES]]+1)),"")</f>
        <v>50800</v>
      </c>
      <c r="Q10" s="19">
        <f>IFERROR(TREND($N$6:INDEX($N:$N,ROW(),1),$J$6:INDEX($J:$J,ROW(),1),tblData[[#This Row],[VUOSI]]+1),"")</f>
        <v>143800</v>
      </c>
    </row>
    <row r="11" spans="2:17" ht="17.25" customHeight="1" x14ac:dyDescent="0.2">
      <c r="B11" s="10">
        <f>40693+(365*2)</f>
        <v>41423</v>
      </c>
      <c r="C11" s="11" t="s">
        <v>2</v>
      </c>
      <c r="D11" s="12">
        <v>6200</v>
      </c>
      <c r="E11" s="12">
        <v>6000</v>
      </c>
      <c r="F11" s="12">
        <v>4500</v>
      </c>
      <c r="G11" s="13">
        <f>tblData[[#This Row],[SUMMA]]-tblData[[#This Row],[KULUT]]</f>
        <v>1700</v>
      </c>
      <c r="H11" s="14">
        <f>DATE(YEAR('Tietojen tallentaminen'!$B11),MONTH('Tietojen tallentaminen'!$B11),1)</f>
        <v>41395</v>
      </c>
      <c r="I11" s="15">
        <f>LOOKUP(MONTH('Tietojen tallentaminen'!$H11),{1,1;2,1;3,1;4,2;5,2;6,2;7,3;8,3;9,3;10,4;11,4;12,4})</f>
        <v>2</v>
      </c>
      <c r="J11" s="16">
        <f>YEAR('Tietojen tallentaminen'!$B11)</f>
        <v>2013</v>
      </c>
      <c r="K11" s="17">
        <f>MONTH(tblData[[#This Row],[PÄIVÄMÄÄRÄ]])</f>
        <v>5</v>
      </c>
      <c r="L11" s="18">
        <f>SUMIFS(tblData[SUMMA],tblData[PÄIVÄMÄÄRÄ],"&gt;="&amp;EOMONTH(tblData[[#This Row],[PÄIVÄMÄÄRÄ]],-1)+1,tblData[PÄIVÄMÄÄRÄ],"&lt;="&amp;EOMONTH(tblData[[#This Row],[PÄIVÄMÄÄRÄ]],0))</f>
        <v>21800</v>
      </c>
      <c r="M11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50800</v>
      </c>
      <c r="N11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11" s="19">
        <f>IFERROR(TREND($L$6:INDEX($L:$L,ROW(),1),$K$6:INDEX($K:$K,ROW(),1),IF(MONTH(tblData[[#This Row],[PÄIVÄMÄÄRÄ]])=12,13,MONTH(tblData[[#This Row],[PÄIVÄMÄÄRÄ]])+1)),"")</f>
        <v>29000</v>
      </c>
      <c r="P11" s="19">
        <f>IFERROR(TREND($M$6:INDEX($M:$M,ROW(),1),$I$6:INDEX($I:$I,ROW(),1),IF(tblData[[#This Row],[NELJÄNNES]]=4,5,tblData[[#This Row],[NELJÄNNES]]+1)),"")</f>
        <v>50800</v>
      </c>
      <c r="Q11" s="19">
        <f>IFERROR(TREND($N$6:INDEX($N:$N,ROW(),1),$J$6:INDEX($J:$J,ROW(),1),tblData[[#This Row],[VUOSI]]+1),"")</f>
        <v>143800</v>
      </c>
    </row>
    <row r="12" spans="2:17" ht="17.25" customHeight="1" x14ac:dyDescent="0.2">
      <c r="B12" s="10">
        <f>40705+(365*2)</f>
        <v>41435</v>
      </c>
      <c r="C12" s="11" t="s">
        <v>24</v>
      </c>
      <c r="D12" s="12">
        <v>6900</v>
      </c>
      <c r="E12" s="12">
        <v>7500</v>
      </c>
      <c r="F12" s="12">
        <v>5400</v>
      </c>
      <c r="G12" s="13">
        <f>tblData[[#This Row],[SUMMA]]-tblData[[#This Row],[KULUT]]</f>
        <v>1500</v>
      </c>
      <c r="H12" s="14">
        <f>DATE(YEAR('Tietojen tallentaminen'!$B12),MONTH('Tietojen tallentaminen'!$B12),1)</f>
        <v>41426</v>
      </c>
      <c r="I12" s="15">
        <f>LOOKUP(MONTH('Tietojen tallentaminen'!$H12),{1,1;2,1;3,1;4,2;5,2;6,2;7,3;8,3;9,3;10,4;11,4;12,4})</f>
        <v>2</v>
      </c>
      <c r="J12" s="16">
        <f>YEAR('Tietojen tallentaminen'!$B12)</f>
        <v>2013</v>
      </c>
      <c r="K12" s="17">
        <f>MONTH(tblData[[#This Row],[PÄIVÄMÄÄRÄ]])</f>
        <v>6</v>
      </c>
      <c r="L12" s="18">
        <f>SUMIFS(tblData[SUMMA],tblData[PÄIVÄMÄÄRÄ],"&gt;="&amp;EOMONTH(tblData[[#This Row],[PÄIVÄMÄÄRÄ]],-1)+1,tblData[PÄIVÄMÄÄRÄ],"&lt;="&amp;EOMONTH(tblData[[#This Row],[PÄIVÄMÄÄRÄ]],0))</f>
        <v>14400</v>
      </c>
      <c r="M12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50800</v>
      </c>
      <c r="N12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12" s="19">
        <f>IFERROR(TREND($L$6:INDEX($L:$L,ROW(),1),$K$6:INDEX($K:$K,ROW(),1),IF(MONTH(tblData[[#This Row],[PÄIVÄMÄÄRÄ]])=12,13,MONTH(tblData[[#This Row],[PÄIVÄMÄÄRÄ]])+1)),"")</f>
        <v>21600.000000000004</v>
      </c>
      <c r="P12" s="19">
        <f>IFERROR(TREND($M$6:INDEX($M:$M,ROW(),1),$I$6:INDEX($I:$I,ROW(),1),IF(tblData[[#This Row],[NELJÄNNES]]=4,5,tblData[[#This Row],[NELJÄNNES]]+1)),"")</f>
        <v>50800</v>
      </c>
      <c r="Q12" s="19">
        <f>IFERROR(TREND($N$6:INDEX($N:$N,ROW(),1),$J$6:INDEX($J:$J,ROW(),1),tblData[[#This Row],[VUOSI]]+1),"")</f>
        <v>143800</v>
      </c>
    </row>
    <row r="13" spans="2:17" ht="17.25" customHeight="1" x14ac:dyDescent="0.2">
      <c r="B13" s="10">
        <f>40716+(365*2)</f>
        <v>41446</v>
      </c>
      <c r="C13" s="11" t="s">
        <v>0</v>
      </c>
      <c r="D13" s="12">
        <v>7500</v>
      </c>
      <c r="E13" s="12">
        <v>7200</v>
      </c>
      <c r="F13" s="12">
        <v>6500</v>
      </c>
      <c r="G13" s="13">
        <f>tblData[[#This Row],[SUMMA]]-tblData[[#This Row],[KULUT]]</f>
        <v>1000</v>
      </c>
      <c r="H13" s="14">
        <f>DATE(YEAR('Tietojen tallentaminen'!$B13),MONTH('Tietojen tallentaminen'!$B13),1)</f>
        <v>41426</v>
      </c>
      <c r="I13" s="15">
        <f>LOOKUP(MONTH('Tietojen tallentaminen'!$H13),{1,1;2,1;3,1;4,2;5,2;6,2;7,3;8,3;9,3;10,4;11,4;12,4})</f>
        <v>2</v>
      </c>
      <c r="J13" s="16">
        <f>YEAR('Tietojen tallentaminen'!$B13)</f>
        <v>2013</v>
      </c>
      <c r="K13" s="17">
        <f>MONTH(tblData[[#This Row],[PÄIVÄMÄÄRÄ]])</f>
        <v>6</v>
      </c>
      <c r="L13" s="18">
        <f>SUMIFS(tblData[SUMMA],tblData[PÄIVÄMÄÄRÄ],"&gt;="&amp;EOMONTH(tblData[[#This Row],[PÄIVÄMÄÄRÄ]],-1)+1,tblData[PÄIVÄMÄÄRÄ],"&lt;="&amp;EOMONTH(tblData[[#This Row],[PÄIVÄMÄÄRÄ]],0))</f>
        <v>14400</v>
      </c>
      <c r="M13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50800</v>
      </c>
      <c r="N13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13" s="19">
        <f>IFERROR(TREND($L$6:INDEX($L:$L,ROW(),1),$K$6:INDEX($K:$K,ROW(),1),IF(MONTH(tblData[[#This Row],[PÄIVÄMÄÄRÄ]])=12,13,MONTH(tblData[[#This Row],[PÄIVÄMÄÄRÄ]])+1)),"")</f>
        <v>17950</v>
      </c>
      <c r="P13" s="19">
        <f>IFERROR(TREND($M$6:INDEX($M:$M,ROW(),1),$I$6:INDEX($I:$I,ROW(),1),IF(tblData[[#This Row],[NELJÄNNES]]=4,5,tblData[[#This Row],[NELJÄNNES]]+1)),"")</f>
        <v>50800</v>
      </c>
      <c r="Q13" s="19">
        <f>IFERROR(TREND($N$6:INDEX($N:$N,ROW(),1),$J$6:INDEX($J:$J,ROW(),1),tblData[[#This Row],[VUOSI]]+1),"")</f>
        <v>143800</v>
      </c>
    </row>
    <row r="14" spans="2:17" ht="17.25" customHeight="1" x14ac:dyDescent="0.2">
      <c r="B14" s="10">
        <f>40731+(365*2)</f>
        <v>41461</v>
      </c>
      <c r="C14" s="11" t="s">
        <v>1</v>
      </c>
      <c r="D14" s="12">
        <v>8700</v>
      </c>
      <c r="E14" s="12">
        <v>8500</v>
      </c>
      <c r="F14" s="12">
        <v>7250</v>
      </c>
      <c r="G14" s="13">
        <f>tblData[[#This Row],[SUMMA]]-tblData[[#This Row],[KULUT]]</f>
        <v>1450</v>
      </c>
      <c r="H14" s="14">
        <f>DATE(YEAR('Tietojen tallentaminen'!$B14),MONTH('Tietojen tallentaminen'!$B14),1)</f>
        <v>41456</v>
      </c>
      <c r="I14" s="15">
        <f>LOOKUP(MONTH('Tietojen tallentaminen'!$H14),{1,1;2,1;3,1;4,2;5,2;6,2;7,3;8,3;9,3;10,4;11,4;12,4})</f>
        <v>3</v>
      </c>
      <c r="J14" s="16">
        <f>YEAR('Tietojen tallentaminen'!$B14)</f>
        <v>2013</v>
      </c>
      <c r="K14" s="17">
        <f>MONTH(tblData[[#This Row],[PÄIVÄMÄÄRÄ]])</f>
        <v>7</v>
      </c>
      <c r="L14" s="18">
        <f>SUMIFS(tblData[SUMMA],tblData[PÄIVÄMÄÄRÄ],"&gt;="&amp;EOMONTH(tblData[[#This Row],[PÄIVÄMÄÄRÄ]],-1)+1,tblData[PÄIVÄMÄÄRÄ],"&lt;="&amp;EOMONTH(tblData[[#This Row],[PÄIVÄMÄÄRÄ]],0))</f>
        <v>8700</v>
      </c>
      <c r="M14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49100</v>
      </c>
      <c r="N14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14" s="19">
        <f>IFERROR(TREND($L$6:INDEX($L:$L,ROW(),1),$K$6:INDEX($K:$K,ROW(),1),IF(MONTH(tblData[[#This Row],[PÄIVÄMÄÄRÄ]])=12,13,MONTH(tblData[[#This Row],[PÄIVÄMÄÄRÄ]])+1)),"")</f>
        <v>10776.470588235294</v>
      </c>
      <c r="P14" s="19">
        <f>IFERROR(TREND($M$6:INDEX($M:$M,ROW(),1),$I$6:INDEX($I:$I,ROW(),1),IF(tblData[[#This Row],[NELJÄNNES]]=4,5,tblData[[#This Row],[NELJÄNNES]]+1)),"")</f>
        <v>47400</v>
      </c>
      <c r="Q14" s="19">
        <f>IFERROR(TREND($N$6:INDEX($N:$N,ROW(),1),$J$6:INDEX($J:$J,ROW(),1),tblData[[#This Row],[VUOSI]]+1),"")</f>
        <v>143800</v>
      </c>
    </row>
    <row r="15" spans="2:17" ht="17.25" customHeight="1" x14ac:dyDescent="0.2">
      <c r="B15" s="10">
        <f>40761+(365*2)</f>
        <v>41491</v>
      </c>
      <c r="C15" s="11" t="s">
        <v>25</v>
      </c>
      <c r="D15" s="12">
        <v>8500</v>
      </c>
      <c r="E15" s="12">
        <v>8300</v>
      </c>
      <c r="F15" s="12">
        <v>7100</v>
      </c>
      <c r="G15" s="13">
        <f>tblData[[#This Row],[SUMMA]]-tblData[[#This Row],[KULUT]]</f>
        <v>1400</v>
      </c>
      <c r="H15" s="14">
        <f>DATE(YEAR('Tietojen tallentaminen'!$B15),MONTH('Tietojen tallentaminen'!$B15),1)</f>
        <v>41487</v>
      </c>
      <c r="I15" s="15">
        <f>LOOKUP(MONTH('Tietojen tallentaminen'!$H15),{1,1;2,1;3,1;4,2;5,2;6,2;7,3;8,3;9,3;10,4;11,4;12,4})</f>
        <v>3</v>
      </c>
      <c r="J15" s="16">
        <f>YEAR('Tietojen tallentaminen'!$B15)</f>
        <v>2013</v>
      </c>
      <c r="K15" s="17">
        <f>MONTH(tblData[[#This Row],[PÄIVÄMÄÄRÄ]])</f>
        <v>8</v>
      </c>
      <c r="L15" s="18">
        <f>SUMIFS(tblData[SUMMA],tblData[PÄIVÄMÄÄRÄ],"&gt;="&amp;EOMONTH(tblData[[#This Row],[PÄIVÄMÄÄRÄ]],-1)+1,tblData[PÄIVÄMÄÄRÄ],"&lt;="&amp;EOMONTH(tblData[[#This Row],[PÄIVÄMÄÄRÄ]],0))</f>
        <v>16400</v>
      </c>
      <c r="M15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49100</v>
      </c>
      <c r="N15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15" s="19">
        <f>IFERROR(TREND($L$6:INDEX($L:$L,ROW(),1),$K$6:INDEX($K:$K,ROW(),1),IF(MONTH(tblData[[#This Row],[PÄIVÄMÄÄRÄ]])=12,13,MONTH(tblData[[#This Row],[PÄIVÄMÄÄRÄ]])+1)),"")</f>
        <v>12455.862068965516</v>
      </c>
      <c r="P15" s="19">
        <f>IFERROR(TREND($M$6:INDEX($M:$M,ROW(),1),$I$6:INDEX($I:$I,ROW(),1),IF(tblData[[#This Row],[NELJÄNNES]]=4,5,tblData[[#This Row],[NELJÄNNES]]+1)),"")</f>
        <v>47400</v>
      </c>
      <c r="Q15" s="19">
        <f>IFERROR(TREND($N$6:INDEX($N:$N,ROW(),1),$J$6:INDEX($J:$J,ROW(),1),tblData[[#This Row],[VUOSI]]+1),"")</f>
        <v>143800</v>
      </c>
    </row>
    <row r="16" spans="2:17" ht="17.25" customHeight="1" x14ac:dyDescent="0.2">
      <c r="B16" s="10">
        <f>40775+(365*2)</f>
        <v>41505</v>
      </c>
      <c r="C16" s="11" t="s">
        <v>26</v>
      </c>
      <c r="D16" s="12">
        <v>7900</v>
      </c>
      <c r="E16" s="12">
        <v>7700</v>
      </c>
      <c r="F16" s="12">
        <v>6600</v>
      </c>
      <c r="G16" s="13">
        <f>tblData[[#This Row],[SUMMA]]-tblData[[#This Row],[KULUT]]</f>
        <v>1300</v>
      </c>
      <c r="H16" s="14">
        <f>DATE(YEAR('Tietojen tallentaminen'!$B16),MONTH('Tietojen tallentaminen'!$B16),1)</f>
        <v>41487</v>
      </c>
      <c r="I16" s="15">
        <f>LOOKUP(MONTH('Tietojen tallentaminen'!$H16),{1,1;2,1;3,1;4,2;5,2;6,2;7,3;8,3;9,3;10,4;11,4;12,4})</f>
        <v>3</v>
      </c>
      <c r="J16" s="16">
        <f>YEAR('Tietojen tallentaminen'!$B16)</f>
        <v>2013</v>
      </c>
      <c r="K16" s="17">
        <f>MONTH(tblData[[#This Row],[PÄIVÄMÄÄRÄ]])</f>
        <v>8</v>
      </c>
      <c r="L16" s="18">
        <f>SUMIFS(tblData[SUMMA],tblData[PÄIVÄMÄÄRÄ],"&gt;="&amp;EOMONTH(tblData[[#This Row],[PÄIVÄMÄÄRÄ]],-1)+1,tblData[PÄIVÄMÄÄRÄ],"&lt;="&amp;EOMONTH(tblData[[#This Row],[PÄIVÄMÄÄRÄ]],0))</f>
        <v>16400</v>
      </c>
      <c r="M16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49100</v>
      </c>
      <c r="N16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16" s="19">
        <f>IFERROR(TREND($L$6:INDEX($L:$L,ROW(),1),$K$6:INDEX($K:$K,ROW(),1),IF(MONTH(tblData[[#This Row],[PÄIVÄMÄÄRÄ]])=12,13,MONTH(tblData[[#This Row],[PÄIVÄMÄÄRÄ]])+1)),"")</f>
        <v>13667.567567567567</v>
      </c>
      <c r="P16" s="19">
        <f>IFERROR(TREND($M$6:INDEX($M:$M,ROW(),1),$I$6:INDEX($I:$I,ROW(),1),IF(tblData[[#This Row],[NELJÄNNES]]=4,5,tblData[[#This Row],[NELJÄNNES]]+1)),"")</f>
        <v>47400.000000000007</v>
      </c>
      <c r="Q16" s="19">
        <f>IFERROR(TREND($N$6:INDEX($N:$N,ROW(),1),$J$6:INDEX($J:$J,ROW(),1),tblData[[#This Row],[VUOSI]]+1),"")</f>
        <v>143800</v>
      </c>
    </row>
    <row r="17" spans="2:17" ht="17.25" customHeight="1" x14ac:dyDescent="0.2">
      <c r="B17" s="10">
        <f>40791+(365*2)</f>
        <v>41521</v>
      </c>
      <c r="C17" s="11" t="s">
        <v>2</v>
      </c>
      <c r="D17" s="12">
        <v>9100</v>
      </c>
      <c r="E17" s="12">
        <v>8900</v>
      </c>
      <c r="F17" s="12">
        <v>7900</v>
      </c>
      <c r="G17" s="13">
        <f>tblData[[#This Row],[SUMMA]]-tblData[[#This Row],[KULUT]]</f>
        <v>1200</v>
      </c>
      <c r="H17" s="14">
        <f>DATE(YEAR('Tietojen tallentaminen'!$B17),MONTH('Tietojen tallentaminen'!$B17),1)</f>
        <v>41518</v>
      </c>
      <c r="I17" s="15">
        <f>LOOKUP(MONTH('Tietojen tallentaminen'!$H17),{1,1;2,1;3,1;4,2;5,2;6,2;7,3;8,3;9,3;10,4;11,4;12,4})</f>
        <v>3</v>
      </c>
      <c r="J17" s="16">
        <f>YEAR('Tietojen tallentaminen'!$B17)</f>
        <v>2013</v>
      </c>
      <c r="K17" s="17">
        <f>MONTH(tblData[[#This Row],[PÄIVÄMÄÄRÄ]])</f>
        <v>9</v>
      </c>
      <c r="L17" s="18">
        <f>SUMIFS(tblData[SUMMA],tblData[PÄIVÄMÄÄRÄ],"&gt;="&amp;EOMONTH(tblData[[#This Row],[PÄIVÄMÄÄRÄ]],-1)+1,tblData[PÄIVÄMÄÄRÄ],"&lt;="&amp;EOMONTH(tblData[[#This Row],[PÄIVÄMÄÄRÄ]],0))</f>
        <v>24000</v>
      </c>
      <c r="M17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49100</v>
      </c>
      <c r="N17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17" s="19">
        <f>IFERROR(TREND($L$6:INDEX($L:$L,ROW(),1),$K$6:INDEX($K:$K,ROW(),1),IF(MONTH(tblData[[#This Row],[PÄIVÄMÄÄRÄ]])=12,13,MONTH(tblData[[#This Row],[PÄIVÄMÄÄRÄ]])+1)),"")</f>
        <v>17651.666666666668</v>
      </c>
      <c r="P17" s="19">
        <f>IFERROR(TREND($M$6:INDEX($M:$M,ROW(),1),$I$6:INDEX($I:$I,ROW(),1),IF(tblData[[#This Row],[NELJÄNNES]]=4,5,tblData[[#This Row],[NELJÄNNES]]+1)),"")</f>
        <v>47400</v>
      </c>
      <c r="Q17" s="19">
        <f>IFERROR(TREND($N$6:INDEX($N:$N,ROW(),1),$J$6:INDEX($J:$J,ROW(),1),tblData[[#This Row],[VUOSI]]+1),"")</f>
        <v>143800</v>
      </c>
    </row>
    <row r="18" spans="2:17" ht="17.25" customHeight="1" x14ac:dyDescent="0.2">
      <c r="B18" s="10">
        <f>40807+(365*2)</f>
        <v>41537</v>
      </c>
      <c r="C18" s="11" t="s">
        <v>0</v>
      </c>
      <c r="D18" s="12">
        <v>5600</v>
      </c>
      <c r="E18" s="12">
        <v>5800</v>
      </c>
      <c r="F18" s="12">
        <v>4500</v>
      </c>
      <c r="G18" s="13">
        <f>tblData[[#This Row],[SUMMA]]-tblData[[#This Row],[KULUT]]</f>
        <v>1100</v>
      </c>
      <c r="H18" s="14">
        <f>DATE(YEAR('Tietojen tallentaminen'!$B18),MONTH('Tietojen tallentaminen'!$B18),1)</f>
        <v>41518</v>
      </c>
      <c r="I18" s="15">
        <f>LOOKUP(MONTH('Tietojen tallentaminen'!$H18),{1,1;2,1;3,1;4,2;5,2;6,2;7,3;8,3;9,3;10,4;11,4;12,4})</f>
        <v>3</v>
      </c>
      <c r="J18" s="16">
        <f>YEAR('Tietojen tallentaminen'!$B18)</f>
        <v>2013</v>
      </c>
      <c r="K18" s="17">
        <f>MONTH(tblData[[#This Row],[PÄIVÄMÄÄRÄ]])</f>
        <v>9</v>
      </c>
      <c r="L18" s="18">
        <f>SUMIFS(tblData[SUMMA],tblData[PÄIVÄMÄÄRÄ],"&gt;="&amp;EOMONTH(tblData[[#This Row],[PÄIVÄMÄÄRÄ]],-1)+1,tblData[PÄIVÄMÄÄRÄ],"&lt;="&amp;EOMONTH(tblData[[#This Row],[PÄIVÄMÄÄRÄ]],0))</f>
        <v>24000</v>
      </c>
      <c r="M18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49100</v>
      </c>
      <c r="N18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18" s="19">
        <f>IFERROR(TREND($L$6:INDEX($L:$L,ROW(),1),$K$6:INDEX($K:$K,ROW(),1),IF(MONTH(tblData[[#This Row],[PÄIVÄMÄÄRÄ]])=12,13,MONTH(tblData[[#This Row],[PÄIVÄMÄÄRÄ]])+1)),"")</f>
        <v>19877.911646586344</v>
      </c>
      <c r="P18" s="19">
        <f>IFERROR(TREND($M$6:INDEX($M:$M,ROW(),1),$I$6:INDEX($I:$I,ROW(),1),IF(tblData[[#This Row],[NELJÄNNES]]=4,5,tblData[[#This Row],[NELJÄNNES]]+1)),"")</f>
        <v>47400</v>
      </c>
      <c r="Q18" s="19">
        <f>IFERROR(TREND($N$6:INDEX($N:$N,ROW(),1),$J$6:INDEX($J:$J,ROW(),1),tblData[[#This Row],[VUOSI]]+1),"")</f>
        <v>143800</v>
      </c>
    </row>
    <row r="19" spans="2:17" ht="17.25" customHeight="1" x14ac:dyDescent="0.2">
      <c r="B19" s="10">
        <f>40812+(365*2)</f>
        <v>41542</v>
      </c>
      <c r="C19" s="11" t="s">
        <v>1</v>
      </c>
      <c r="D19" s="12">
        <v>9300</v>
      </c>
      <c r="E19" s="12">
        <v>9100</v>
      </c>
      <c r="F19" s="12">
        <v>7500</v>
      </c>
      <c r="G19" s="13">
        <f>tblData[[#This Row],[SUMMA]]-tblData[[#This Row],[KULUT]]</f>
        <v>1800</v>
      </c>
      <c r="H19" s="14">
        <f>DATE(YEAR('Tietojen tallentaminen'!$B19),MONTH('Tietojen tallentaminen'!$B19),1)</f>
        <v>41518</v>
      </c>
      <c r="I19" s="15">
        <f>LOOKUP(MONTH('Tietojen tallentaminen'!$H19),{1,1;2,1;3,1;4,2;5,2;6,2;7,3;8,3;9,3;10,4;11,4;12,4})</f>
        <v>3</v>
      </c>
      <c r="J19" s="16">
        <f>YEAR('Tietojen tallentaminen'!$B19)</f>
        <v>2013</v>
      </c>
      <c r="K19" s="17">
        <f>MONTH(tblData[[#This Row],[PÄIVÄMÄÄRÄ]])</f>
        <v>9</v>
      </c>
      <c r="L19" s="18">
        <f>SUMIFS(tblData[SUMMA],tblData[PÄIVÄMÄÄRÄ],"&gt;="&amp;EOMONTH(tblData[[#This Row],[PÄIVÄMÄÄRÄ]],-1)+1,tblData[PÄIVÄMÄÄRÄ],"&lt;="&amp;EOMONTH(tblData[[#This Row],[PÄIVÄMÄÄRÄ]],0))</f>
        <v>24000</v>
      </c>
      <c r="M19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49100</v>
      </c>
      <c r="N19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19" s="19">
        <f>IFERROR(TREND($L$6:INDEX($L:$L,ROW(),1),$K$6:INDEX($K:$K,ROW(),1),IF(MONTH(tblData[[#This Row],[PÄIVÄMÄÄRÄ]])=12,13,MONTH(tblData[[#This Row],[PÄIVÄMÄÄRÄ]])+1)),"")</f>
        <v>21138.050314465407</v>
      </c>
      <c r="P19" s="19">
        <f>IFERROR(TREND($M$6:INDEX($M:$M,ROW(),1),$I$6:INDEX($I:$I,ROW(),1),IF(tblData[[#This Row],[NELJÄNNES]]=4,5,tblData[[#This Row],[NELJÄNNES]]+1)),"")</f>
        <v>47400</v>
      </c>
      <c r="Q19" s="19">
        <f>IFERROR(TREND($N$6:INDEX($N:$N,ROW(),1),$J$6:INDEX($J:$J,ROW(),1),tblData[[#This Row],[VUOSI]]+1),"")</f>
        <v>143800</v>
      </c>
    </row>
    <row r="20" spans="2:17" ht="17.25" customHeight="1" x14ac:dyDescent="0.2">
      <c r="B20" s="10">
        <f>40832+(365*2)</f>
        <v>41562</v>
      </c>
      <c r="C20" s="11" t="s">
        <v>25</v>
      </c>
      <c r="D20" s="12">
        <v>8800</v>
      </c>
      <c r="E20" s="12">
        <v>9350</v>
      </c>
      <c r="F20" s="12">
        <v>7100</v>
      </c>
      <c r="G20" s="13">
        <f>tblData[[#This Row],[SUMMA]]-tblData[[#This Row],[KULUT]]</f>
        <v>1700</v>
      </c>
      <c r="H20" s="14">
        <f>DATE(YEAR('Tietojen tallentaminen'!$B20),MONTH('Tietojen tallentaminen'!$B20),1)</f>
        <v>41548</v>
      </c>
      <c r="I20" s="15">
        <f>LOOKUP(MONTH('Tietojen tallentaminen'!$H20),{1,1;2,1;3,1;4,2;5,2;6,2;7,3;8,3;9,3;10,4;11,4;12,4})</f>
        <v>4</v>
      </c>
      <c r="J20" s="16">
        <f>YEAR('Tietojen tallentaminen'!$B20)</f>
        <v>2013</v>
      </c>
      <c r="K20" s="17">
        <f>MONTH(tblData[[#This Row],[PÄIVÄMÄÄRÄ]])</f>
        <v>10</v>
      </c>
      <c r="L20" s="18">
        <f>SUMIFS(tblData[SUMMA],tblData[PÄIVÄMÄÄRÄ],"&gt;="&amp;EOMONTH(tblData[[#This Row],[PÄIVÄMÄÄRÄ]],-1)+1,tblData[PÄIVÄMÄÄRÄ],"&lt;="&amp;EOMONTH(tblData[[#This Row],[PÄIVÄMÄÄRÄ]],0))</f>
        <v>8800</v>
      </c>
      <c r="M20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43900</v>
      </c>
      <c r="N20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20" s="19">
        <f>IFERROR(TREND($L$6:INDEX($L:$L,ROW(),1),$K$6:INDEX($K:$K,ROW(),1),IF(MONTH(tblData[[#This Row],[PÄIVÄMÄÄRÄ]])=12,13,MONTH(tblData[[#This Row],[PÄIVÄMÄÄRÄ]])+1)),"")</f>
        <v>17951.744186046511</v>
      </c>
      <c r="P20" s="19">
        <f>IFERROR(TREND($M$6:INDEX($M:$M,ROW(),1),$I$6:INDEX($I:$I,ROW(),1),IF(tblData[[#This Row],[NELJÄNNES]]=4,5,tblData[[#This Row],[NELJÄNNES]]+1)),"")</f>
        <v>43258.139534883725</v>
      </c>
      <c r="Q20" s="19">
        <f>IFERROR(TREND($N$6:INDEX($N:$N,ROW(),1),$J$6:INDEX($J:$J,ROW(),1),tblData[[#This Row],[VUOSI]]+1),"")</f>
        <v>143800</v>
      </c>
    </row>
    <row r="21" spans="2:17" ht="17.25" customHeight="1" x14ac:dyDescent="0.2">
      <c r="B21" s="10">
        <f>40853+(365*2)</f>
        <v>41583</v>
      </c>
      <c r="C21" s="11" t="s">
        <v>26</v>
      </c>
      <c r="D21" s="12">
        <v>9100</v>
      </c>
      <c r="E21" s="12">
        <v>9200</v>
      </c>
      <c r="F21" s="12">
        <v>7850</v>
      </c>
      <c r="G21" s="13">
        <f>tblData[[#This Row],[SUMMA]]-tblData[[#This Row],[KULUT]]</f>
        <v>1250</v>
      </c>
      <c r="H21" s="14">
        <f>DATE(YEAR('Tietojen tallentaminen'!$B21),MONTH('Tietojen tallentaminen'!$B21),1)</f>
        <v>41579</v>
      </c>
      <c r="I21" s="15">
        <f>LOOKUP(MONTH('Tietojen tallentaminen'!$H21),{1,1;2,1;3,1;4,2;5,2;6,2;7,3;8,3;9,3;10,4;11,4;12,4})</f>
        <v>4</v>
      </c>
      <c r="J21" s="16">
        <f>YEAR('Tietojen tallentaminen'!$B21)</f>
        <v>2013</v>
      </c>
      <c r="K21" s="17">
        <f>MONTH(tblData[[#This Row],[PÄIVÄMÄÄRÄ]])</f>
        <v>11</v>
      </c>
      <c r="L21" s="18">
        <f>SUMIFS(tblData[SUMMA],tblData[PÄIVÄMÄÄRÄ],"&gt;="&amp;EOMONTH(tblData[[#This Row],[PÄIVÄMÄÄRÄ]],-1)+1,tblData[PÄIVÄMÄÄRÄ],"&lt;="&amp;EOMONTH(tblData[[#This Row],[PÄIVÄMÄÄRÄ]],0))</f>
        <v>25600</v>
      </c>
      <c r="M21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43900</v>
      </c>
      <c r="N21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21" s="19">
        <f>IFERROR(TREND($L$6:INDEX($L:$L,ROW(),1),$K$6:INDEX($K:$K,ROW(),1),IF(MONTH(tblData[[#This Row],[PÄIVÄMÄÄRÄ]])=12,13,MONTH(tblData[[#This Row],[PÄIVÄMÄÄRÄ]])+1)),"")</f>
        <v>20556.130108423687</v>
      </c>
      <c r="P21" s="19">
        <f>IFERROR(TREND($M$6:INDEX($M:$M,ROW(),1),$I$6:INDEX($I:$I,ROW(),1),IF(tblData[[#This Row],[NELJÄNNES]]=4,5,tblData[[#This Row],[NELJÄNNES]]+1)),"")</f>
        <v>42312.903225806447</v>
      </c>
      <c r="Q21" s="19">
        <f>IFERROR(TREND($N$6:INDEX($N:$N,ROW(),1),$J$6:INDEX($J:$J,ROW(),1),tblData[[#This Row],[VUOSI]]+1),"")</f>
        <v>143800</v>
      </c>
    </row>
    <row r="22" spans="2:17" ht="17.25" customHeight="1" x14ac:dyDescent="0.2">
      <c r="B22" s="10">
        <f>40874+(365*2)</f>
        <v>41604</v>
      </c>
      <c r="C22" s="11" t="s">
        <v>2</v>
      </c>
      <c r="D22" s="12">
        <v>9000</v>
      </c>
      <c r="E22" s="12">
        <v>10000</v>
      </c>
      <c r="F22" s="12">
        <v>7575</v>
      </c>
      <c r="G22" s="13">
        <f>tblData[[#This Row],[SUMMA]]-tblData[[#This Row],[KULUT]]</f>
        <v>1425</v>
      </c>
      <c r="H22" s="14">
        <f>DATE(YEAR('Tietojen tallentaminen'!$B22),MONTH('Tietojen tallentaminen'!$B22),1)</f>
        <v>41579</v>
      </c>
      <c r="I22" s="15">
        <f>LOOKUP(MONTH('Tietojen tallentaminen'!$H22),{1,1;2,1;3,1;4,2;5,2;6,2;7,3;8,3;9,3;10,4;11,4;12,4})</f>
        <v>4</v>
      </c>
      <c r="J22" s="16">
        <f>YEAR('Tietojen tallentaminen'!$B22)</f>
        <v>2013</v>
      </c>
      <c r="K22" s="17">
        <f>MONTH(tblData[[#This Row],[PÄIVÄMÄÄRÄ]])</f>
        <v>11</v>
      </c>
      <c r="L22" s="18">
        <f>SUMIFS(tblData[SUMMA],tblData[PÄIVÄMÄÄRÄ],"&gt;="&amp;EOMONTH(tblData[[#This Row],[PÄIVÄMÄÄRÄ]],-1)+1,tblData[PÄIVÄMÄÄRÄ],"&lt;="&amp;EOMONTH(tblData[[#This Row],[PÄIVÄMÄÄRÄ]],0))</f>
        <v>25600</v>
      </c>
      <c r="M22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43900</v>
      </c>
      <c r="N22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22" s="19">
        <f>IFERROR(TREND($L$6:INDEX($L:$L,ROW(),1),$K$6:INDEX($K:$K,ROW(),1),IF(MONTH(tblData[[#This Row],[PÄIVÄMÄÄRÄ]])=12,13,MONTH(tblData[[#This Row],[PÄIVÄMÄÄRÄ]])+1)),"")</f>
        <v>21997.139141742522</v>
      </c>
      <c r="P22" s="19">
        <f>IFERROR(TREND($M$6:INDEX($M:$M,ROW(),1),$I$6:INDEX($I:$I,ROW(),1),IF(tblData[[#This Row],[NELJÄNNES]]=4,5,tblData[[#This Row],[NELJÄNNES]]+1)),"")</f>
        <v>41811.111111111109</v>
      </c>
      <c r="Q22" s="19">
        <f>IFERROR(TREND($N$6:INDEX($N:$N,ROW(),1),$J$6:INDEX($J:$J,ROW(),1),tblData[[#This Row],[VUOSI]]+1),"")</f>
        <v>143800</v>
      </c>
    </row>
    <row r="23" spans="2:17" ht="17.25" customHeight="1" x14ac:dyDescent="0.2">
      <c r="B23" s="10">
        <f>40878+(365*2)</f>
        <v>41608</v>
      </c>
      <c r="C23" s="11" t="s">
        <v>2</v>
      </c>
      <c r="D23" s="12">
        <v>7500</v>
      </c>
      <c r="E23" s="12">
        <v>8000</v>
      </c>
      <c r="F23" s="12">
        <v>5850</v>
      </c>
      <c r="G23" s="13">
        <f>tblData[[#This Row],[SUMMA]]-tblData[[#This Row],[KULUT]]</f>
        <v>1650</v>
      </c>
      <c r="H23" s="14">
        <f>DATE(YEAR('Tietojen tallentaminen'!$B23),MONTH('Tietojen tallentaminen'!$B23),1)</f>
        <v>41579</v>
      </c>
      <c r="I23" s="15">
        <f>LOOKUP(MONTH('Tietojen tallentaminen'!$H23),{1,1;2,1;3,1;4,2;5,2;6,2;7,3;8,3;9,3;10,4;11,4;12,4})</f>
        <v>4</v>
      </c>
      <c r="J23" s="16">
        <f>YEAR('Tietojen tallentaminen'!$B23)</f>
        <v>2013</v>
      </c>
      <c r="K23" s="17">
        <f>MONTH(tblData[[#This Row],[PÄIVÄMÄÄRÄ]])</f>
        <v>11</v>
      </c>
      <c r="L23" s="18">
        <f>SUMIFS(tblData[SUMMA],tblData[PÄIVÄMÄÄRÄ],"&gt;="&amp;EOMONTH(tblData[[#This Row],[PÄIVÄMÄÄRÄ]],-1)+1,tblData[PÄIVÄMÄÄRÄ],"&lt;="&amp;EOMONTH(tblData[[#This Row],[PÄIVÄMÄÄRÄ]],0))</f>
        <v>25600</v>
      </c>
      <c r="M23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43900</v>
      </c>
      <c r="N23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23" s="19">
        <f>IFERROR(TREND($L$6:INDEX($L:$L,ROW(),1),$K$6:INDEX($K:$K,ROW(),1),IF(MONTH(tblData[[#This Row],[PÄIVÄMÄÄRÄ]])=12,13,MONTH(tblData[[#This Row],[PÄIVÄMÄÄRÄ]])+1)),"")</f>
        <v>22917.634523175278</v>
      </c>
      <c r="P23" s="19">
        <f>IFERROR(TREND($M$6:INDEX($M:$M,ROW(),1),$I$6:INDEX($I:$I,ROW(),1),IF(tblData[[#This Row],[NELJÄNNES]]=4,5,tblData[[#This Row],[NELJÄNNES]]+1)),"")</f>
        <v>41500</v>
      </c>
      <c r="Q23" s="19">
        <f>IFERROR(TREND($N$6:INDEX($N:$N,ROW(),1),$J$6:INDEX($J:$J,ROW(),1),tblData[[#This Row],[VUOSI]]+1),"")</f>
        <v>143800</v>
      </c>
    </row>
    <row r="24" spans="2:17" ht="17.25" customHeight="1" x14ac:dyDescent="0.2">
      <c r="B24" s="10">
        <f>40889+(365*2)</f>
        <v>41619</v>
      </c>
      <c r="C24" s="11" t="s">
        <v>0</v>
      </c>
      <c r="D24" s="12">
        <v>9500</v>
      </c>
      <c r="E24" s="12">
        <v>9200</v>
      </c>
      <c r="F24" s="12">
        <v>8500</v>
      </c>
      <c r="G24" s="13">
        <f>tblData[[#This Row],[SUMMA]]-tblData[[#This Row],[KULUT]]</f>
        <v>1000</v>
      </c>
      <c r="H24" s="14">
        <f>DATE(YEAR('Tietojen tallentaminen'!$B24),MONTH('Tietojen tallentaminen'!$B24),1)</f>
        <v>41609</v>
      </c>
      <c r="I24" s="15">
        <f>LOOKUP(MONTH('Tietojen tallentaminen'!$H24),{1,1;2,1;3,1;4,2;5,2;6,2;7,3;8,3;9,3;10,4;11,4;12,4})</f>
        <v>4</v>
      </c>
      <c r="J24" s="16">
        <f>YEAR('Tietojen tallentaminen'!$B24)</f>
        <v>2013</v>
      </c>
      <c r="K24" s="17">
        <f>MONTH(tblData[[#This Row],[PÄIVÄMÄÄRÄ]])</f>
        <v>12</v>
      </c>
      <c r="L24" s="18">
        <f>SUMIFS(tblData[SUMMA],tblData[PÄIVÄMÄÄRÄ],"&gt;="&amp;EOMONTH(tblData[[#This Row],[PÄIVÄMÄÄRÄ]],-1)+1,tblData[PÄIVÄMÄÄRÄ],"&lt;="&amp;EOMONTH(tblData[[#This Row],[PÄIVÄMÄÄRÄ]],0))</f>
        <v>9500</v>
      </c>
      <c r="M24" s="18">
        <f>SUMIFS(tblData[SUMMA],tblData[PÄIVÄMÄÄRÄ],"&gt;="&amp;DATE(YEAR(tblData[[#This Row],[PÄIVÄMÄÄRÄ]]),1,1),tblData[PÄIVÄMÄÄRÄ],"&lt;="&amp;DATE(YEAR(tblData[[#This Row],[PÄIVÄMÄÄRÄ]]),12,31),tblData[NELJÄNNES],tblData[[#This Row],[NELJÄNNES]])</f>
        <v>43900</v>
      </c>
      <c r="N24" s="18">
        <f>SUMIFS(tblData[SUMMA],tblData[PÄIVÄMÄÄRÄ],"&gt;="&amp;DATE(YEAR(tblData[[#This Row],[PÄIVÄMÄÄRÄ]]),1,1),tblData[PÄIVÄMÄÄRÄ],"&lt;="&amp;DATE(YEAR(tblData[[#This Row],[PÄIVÄMÄÄRÄ]]),12,31))</f>
        <v>143800</v>
      </c>
      <c r="O24" s="19">
        <f>IFERROR(TREND($L$6:INDEX($L:$L,ROW(),1),$K$6:INDEX($K:$K,ROW(),1),IF(MONTH(tblData[[#This Row],[PÄIVÄMÄÄRÄ]])=12,13,MONTH(tblData[[#This Row],[PÄIVÄMÄÄRÄ]])+1)),"")</f>
        <v>20504.314720812181</v>
      </c>
      <c r="P24" s="19">
        <f>IFERROR(TREND($M$6:INDEX($M:$M,ROW(),1),$I$6:INDEX($I:$I,ROW(),1),IF(tblData[[#This Row],[NELJÄNNES]]=4,5,tblData[[#This Row],[NELJÄNNES]]+1)),"")</f>
        <v>41288.23529411765</v>
      </c>
      <c r="Q24" s="19">
        <f>IFERROR(TREND($N$6:INDEX($N:$N,ROW(),1),$J$6:INDEX($J:$J,ROW(),1),tblData[[#This Row],[VUOSI]]+1),"")</f>
        <v>143800</v>
      </c>
    </row>
  </sheetData>
  <printOptions horizontalCentered="1"/>
  <pageMargins left="0.25" right="0.25" top="0.75" bottom="0.75" header="0.3" footer="0.3"/>
  <pageSetup fitToHeight="0" orientation="landscape" horizont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F29"/>
  <sheetViews>
    <sheetView showGridLines="0" zoomScaleNormal="100" workbookViewId="0"/>
  </sheetViews>
  <sheetFormatPr defaultRowHeight="17.25" customHeight="1" x14ac:dyDescent="0.2"/>
  <cols>
    <col min="1" max="1" width="2" style="24" customWidth="1"/>
    <col min="2" max="3" width="16.6640625" style="21" customWidth="1"/>
    <col min="4" max="4" width="16.6640625" style="22" customWidth="1"/>
    <col min="5" max="5" width="39.33203125" style="22" customWidth="1"/>
    <col min="6" max="6" width="27" style="23" customWidth="1"/>
    <col min="7" max="16384" width="9.33203125" style="24"/>
  </cols>
  <sheetData>
    <row r="1" spans="1:6" s="20" customFormat="1" ht="11.25" customHeight="1" x14ac:dyDescent="0.2">
      <c r="B1" s="21"/>
      <c r="C1" s="21"/>
      <c r="D1" s="22"/>
      <c r="E1" s="22"/>
      <c r="F1" s="23"/>
    </row>
    <row r="2" spans="1:6" s="1" customFormat="1" ht="31.5" x14ac:dyDescent="0.2">
      <c r="B2" s="34" t="s">
        <v>53</v>
      </c>
    </row>
    <row r="3" spans="1:6" ht="17.25" customHeight="1" x14ac:dyDescent="0.2">
      <c r="A3" s="20"/>
    </row>
    <row r="4" spans="1:6" ht="17.25" customHeight="1" x14ac:dyDescent="0.2">
      <c r="A4" s="20"/>
    </row>
    <row r="5" spans="1:6" ht="12.75" x14ac:dyDescent="0.2">
      <c r="B5" s="25" t="s">
        <v>14</v>
      </c>
      <c r="C5" s="25" t="s">
        <v>13</v>
      </c>
      <c r="D5" s="25" t="s">
        <v>12</v>
      </c>
      <c r="E5" s="25" t="s">
        <v>7</v>
      </c>
      <c r="F5" s="26" t="s">
        <v>23</v>
      </c>
    </row>
    <row r="6" spans="1:6" ht="11.25" x14ac:dyDescent="0.2">
      <c r="B6" s="27">
        <v>2013</v>
      </c>
      <c r="C6" s="28">
        <v>2</v>
      </c>
      <c r="D6" s="29">
        <v>41365</v>
      </c>
      <c r="E6" s="1" t="s">
        <v>0</v>
      </c>
      <c r="F6" s="30">
        <v>8200</v>
      </c>
    </row>
    <row r="7" spans="1:6" ht="11.25" x14ac:dyDescent="0.2">
      <c r="B7" s="27"/>
      <c r="C7" s="1"/>
      <c r="D7" s="1"/>
      <c r="E7" s="1" t="s">
        <v>24</v>
      </c>
      <c r="F7" s="30">
        <v>6400</v>
      </c>
    </row>
    <row r="8" spans="1:6" ht="11.25" x14ac:dyDescent="0.2">
      <c r="B8" s="27"/>
      <c r="C8" s="1"/>
      <c r="D8" s="29">
        <v>41395</v>
      </c>
      <c r="E8" s="1" t="s">
        <v>1</v>
      </c>
      <c r="F8" s="30">
        <v>4400</v>
      </c>
    </row>
    <row r="9" spans="1:6" ht="11.25" x14ac:dyDescent="0.2">
      <c r="B9" s="27"/>
      <c r="C9" s="1"/>
      <c r="D9" s="1"/>
      <c r="E9" s="1" t="s">
        <v>2</v>
      </c>
      <c r="F9" s="30">
        <v>6200</v>
      </c>
    </row>
    <row r="10" spans="1:6" ht="11.25" x14ac:dyDescent="0.2">
      <c r="B10" s="27"/>
      <c r="C10" s="1"/>
      <c r="D10" s="1"/>
      <c r="E10" s="1" t="s">
        <v>25</v>
      </c>
      <c r="F10" s="30">
        <v>5400</v>
      </c>
    </row>
    <row r="11" spans="1:6" ht="11.25" x14ac:dyDescent="0.2">
      <c r="B11" s="27"/>
      <c r="C11" s="1"/>
      <c r="D11" s="1"/>
      <c r="E11" s="1" t="s">
        <v>26</v>
      </c>
      <c r="F11" s="30">
        <v>5800</v>
      </c>
    </row>
    <row r="12" spans="1:6" ht="11.25" x14ac:dyDescent="0.2">
      <c r="B12" s="27"/>
      <c r="C12" s="1"/>
      <c r="D12" s="29">
        <v>41426</v>
      </c>
      <c r="E12" s="1" t="s">
        <v>0</v>
      </c>
      <c r="F12" s="30">
        <v>7500</v>
      </c>
    </row>
    <row r="13" spans="1:6" ht="11.25" x14ac:dyDescent="0.2">
      <c r="B13" s="27"/>
      <c r="C13" s="1"/>
      <c r="D13" s="1"/>
      <c r="E13" s="1" t="s">
        <v>24</v>
      </c>
      <c r="F13" s="30">
        <v>6900</v>
      </c>
    </row>
    <row r="14" spans="1:6" ht="11.25" x14ac:dyDescent="0.2">
      <c r="B14" s="27"/>
      <c r="C14" s="28" t="s">
        <v>50</v>
      </c>
      <c r="D14" s="1"/>
      <c r="E14" s="1"/>
      <c r="F14" s="30">
        <v>50800</v>
      </c>
    </row>
    <row r="15" spans="1:6" ht="11.25" x14ac:dyDescent="0.2">
      <c r="B15" s="27"/>
      <c r="C15" s="28">
        <v>3</v>
      </c>
      <c r="D15" s="29">
        <v>41456</v>
      </c>
      <c r="E15" s="1" t="s">
        <v>1</v>
      </c>
      <c r="F15" s="30">
        <v>8700</v>
      </c>
    </row>
    <row r="16" spans="1:6" ht="11.25" x14ac:dyDescent="0.2">
      <c r="B16" s="27"/>
      <c r="C16" s="1"/>
      <c r="D16" s="29">
        <v>41487</v>
      </c>
      <c r="E16" s="1" t="s">
        <v>25</v>
      </c>
      <c r="F16" s="30">
        <v>8500</v>
      </c>
    </row>
    <row r="17" spans="2:6" ht="11.25" x14ac:dyDescent="0.2">
      <c r="B17" s="27"/>
      <c r="C17" s="1"/>
      <c r="D17" s="1"/>
      <c r="E17" s="1" t="s">
        <v>26</v>
      </c>
      <c r="F17" s="30">
        <v>7900</v>
      </c>
    </row>
    <row r="18" spans="2:6" ht="11.25" x14ac:dyDescent="0.2">
      <c r="B18" s="27"/>
      <c r="C18" s="1"/>
      <c r="D18" s="29">
        <v>41518</v>
      </c>
      <c r="E18" s="1" t="s">
        <v>1</v>
      </c>
      <c r="F18" s="30">
        <v>9300</v>
      </c>
    </row>
    <row r="19" spans="2:6" ht="11.25" x14ac:dyDescent="0.2">
      <c r="B19" s="27"/>
      <c r="C19" s="1"/>
      <c r="D19" s="1"/>
      <c r="E19" s="1" t="s">
        <v>0</v>
      </c>
      <c r="F19" s="30">
        <v>5600</v>
      </c>
    </row>
    <row r="20" spans="2:6" ht="11.25" x14ac:dyDescent="0.2">
      <c r="B20" s="27"/>
      <c r="C20" s="1"/>
      <c r="D20" s="1"/>
      <c r="E20" s="1" t="s">
        <v>2</v>
      </c>
      <c r="F20" s="30">
        <v>9100</v>
      </c>
    </row>
    <row r="21" spans="2:6" ht="11.25" x14ac:dyDescent="0.2">
      <c r="B21" s="27"/>
      <c r="C21" s="28" t="s">
        <v>51</v>
      </c>
      <c r="D21" s="1"/>
      <c r="E21" s="1"/>
      <c r="F21" s="30">
        <v>49100</v>
      </c>
    </row>
    <row r="22" spans="2:6" ht="11.25" x14ac:dyDescent="0.2">
      <c r="B22" s="27"/>
      <c r="C22" s="28">
        <v>4</v>
      </c>
      <c r="D22" s="29">
        <v>41548</v>
      </c>
      <c r="E22" s="1" t="s">
        <v>25</v>
      </c>
      <c r="F22" s="30">
        <v>8800</v>
      </c>
    </row>
    <row r="23" spans="2:6" ht="11.25" x14ac:dyDescent="0.2">
      <c r="B23" s="27"/>
      <c r="C23" s="1"/>
      <c r="D23" s="29">
        <v>41579</v>
      </c>
      <c r="E23" s="1" t="s">
        <v>2</v>
      </c>
      <c r="F23" s="30">
        <v>16500</v>
      </c>
    </row>
    <row r="24" spans="2:6" ht="11.25" x14ac:dyDescent="0.2">
      <c r="B24" s="27"/>
      <c r="C24" s="1"/>
      <c r="D24" s="1"/>
      <c r="E24" s="1" t="s">
        <v>26</v>
      </c>
      <c r="F24" s="30">
        <v>9100</v>
      </c>
    </row>
    <row r="25" spans="2:6" ht="11.25" x14ac:dyDescent="0.2">
      <c r="B25" s="27"/>
      <c r="C25" s="1"/>
      <c r="D25" s="29">
        <v>41609</v>
      </c>
      <c r="E25" s="1" t="s">
        <v>0</v>
      </c>
      <c r="F25" s="30">
        <v>9500</v>
      </c>
    </row>
    <row r="26" spans="2:6" ht="11.25" x14ac:dyDescent="0.2">
      <c r="B26" s="27"/>
      <c r="C26" s="28" t="s">
        <v>52</v>
      </c>
      <c r="D26" s="1"/>
      <c r="E26" s="1"/>
      <c r="F26" s="30">
        <v>43900</v>
      </c>
    </row>
    <row r="27" spans="2:6" ht="11.25" x14ac:dyDescent="0.2">
      <c r="B27" s="1" t="s">
        <v>27</v>
      </c>
      <c r="C27" s="1"/>
      <c r="D27" s="1"/>
      <c r="E27" s="1"/>
      <c r="F27" s="31">
        <v>143800</v>
      </c>
    </row>
    <row r="28" spans="2:6" ht="11.25" x14ac:dyDescent="0.2">
      <c r="B28" s="1" t="s">
        <v>5</v>
      </c>
      <c r="C28" s="1"/>
      <c r="D28" s="1"/>
      <c r="E28" s="1"/>
      <c r="F28" s="31">
        <v>143800</v>
      </c>
    </row>
    <row r="29" spans="2:6" ht="17.25" customHeight="1" x14ac:dyDescent="0.2">
      <c r="B29" s="1"/>
      <c r="C29" s="1"/>
      <c r="D29" s="1"/>
      <c r="E29" s="1"/>
      <c r="F29" s="1"/>
    </row>
  </sheetData>
  <conditionalFormatting sqref="E1:E4 E30:E1048553">
    <cfRule type="expression" dxfId="33" priority="4">
      <formula>(LEN($E1)&gt;0)*(LEN($D2)&gt;0)</formula>
    </cfRule>
  </conditionalFormatting>
  <conditionalFormatting sqref="D1:D5 D26:D1048576 F30:F1048576">
    <cfRule type="expression" dxfId="32" priority="3">
      <formula>(LEN($D1)&gt;0)*(LEN($C1)=0)</formula>
    </cfRule>
  </conditionalFormatting>
  <conditionalFormatting sqref="F1:F5">
    <cfRule type="expression" dxfId="31" priority="1">
      <formula>(LEN($D1)&gt;0)*(LEN($C1)=0)</formula>
    </cfRule>
  </conditionalFormatting>
  <conditionalFormatting sqref="E1048554:E1048576">
    <cfRule type="expression" dxfId="30" priority="10">
      <formula>(LEN($E1048554)&gt;0)*(LEN($D1)&gt;0)</formula>
    </cfRule>
  </conditionalFormatting>
  <printOptions horizontalCentered="1"/>
  <pageMargins left="0.25" right="0.25" top="0.75" bottom="0.75" header="0.3" footer="0.3"/>
  <pageSetup fitToHeight="0" orientation="landscape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autoPageBreaks="0" fitToPage="1"/>
  </sheetPr>
  <dimension ref="B2:J43"/>
  <sheetViews>
    <sheetView showGridLines="0" zoomScaleNormal="100" workbookViewId="0"/>
  </sheetViews>
  <sheetFormatPr defaultRowHeight="11.25" x14ac:dyDescent="0.2"/>
  <cols>
    <col min="1" max="1" width="2" style="1" customWidth="1"/>
    <col min="2" max="2" width="30.5" style="1" customWidth="1"/>
    <col min="3" max="3" width="17.33203125" style="1" customWidth="1"/>
    <col min="4" max="8" width="16" style="1" customWidth="1"/>
    <col min="9" max="9" width="21.5" style="1" customWidth="1"/>
    <col min="10" max="10" width="16" style="1" customWidth="1"/>
    <col min="11" max="16384" width="9.33203125" style="1"/>
  </cols>
  <sheetData>
    <row r="2" spans="2:10" ht="31.5" x14ac:dyDescent="0.2">
      <c r="B2" s="32" t="s">
        <v>55</v>
      </c>
    </row>
    <row r="3" spans="2:10" ht="27.75" customHeight="1" x14ac:dyDescent="0.2">
      <c r="B3" s="35" t="str">
        <f ca="1">"PÄIVÄMÄÄRÄ TÄNÄÄN: "&amp;UPPER(TEXT(TODAY(),"p kkk, vvvv"))</f>
        <v>PÄIVÄMÄÄRÄ TÄNÄÄN: P KKK, VVVV</v>
      </c>
      <c r="D3" s="36" t="e">
        <f ca="1">--TRIM(RIGHT(B3,LEN(B3)-FIND(":",B3)))</f>
        <v>#VALUE!</v>
      </c>
    </row>
    <row r="4" spans="2:10" ht="15" customHeight="1" x14ac:dyDescent="0.2"/>
    <row r="5" spans="2:10" ht="43.5" customHeight="1" x14ac:dyDescent="0.2">
      <c r="B5" s="37" t="s">
        <v>29</v>
      </c>
      <c r="C5" s="38" t="s">
        <v>30</v>
      </c>
      <c r="D5" s="38" t="s">
        <v>9</v>
      </c>
      <c r="E5" s="38" t="s">
        <v>31</v>
      </c>
      <c r="F5" s="38" t="s">
        <v>3</v>
      </c>
      <c r="G5" s="39" t="s">
        <v>32</v>
      </c>
      <c r="H5" s="39" t="s">
        <v>33</v>
      </c>
      <c r="I5" s="39" t="s">
        <v>34</v>
      </c>
      <c r="J5" s="40" t="s">
        <v>35</v>
      </c>
    </row>
    <row r="6" spans="2:10" s="9" customFormat="1" ht="15" customHeight="1" x14ac:dyDescent="0.2">
      <c r="B6" s="41" t="s">
        <v>36</v>
      </c>
      <c r="C6" s="42">
        <f ca="1">COUNTIF('Tietojen tallentaminen'!$B$6:$B$24,"&gt;="&amp;DATE(fYear,MONTH(fDate),1))-COUNTIF('Tietojen tallentaminen'!$B$6:$B$24,"&gt;"&amp;EOMONTH(fDate,0))</f>
        <v>0</v>
      </c>
      <c r="D6" s="43"/>
      <c r="E6" s="44"/>
      <c r="F6" s="45"/>
      <c r="G6" s="42">
        <f ca="1">COUNTIF(tblData[PÄIVÄMÄÄRÄ],"&lt;="&amp;EOMONTH(fDate,0))</f>
        <v>0</v>
      </c>
      <c r="H6" s="46"/>
      <c r="I6" s="46"/>
      <c r="J6" s="47"/>
    </row>
    <row r="7" spans="2:10" s="9" customFormat="1" ht="15" customHeight="1" x14ac:dyDescent="0.2">
      <c r="B7" s="48" t="s">
        <v>37</v>
      </c>
      <c r="C7" s="49">
        <f ca="1">SUMIF(tblData[PÄIVÄMÄÄRÄ],"&gt;="&amp;DATE(fYear,MONTH(fDate),1),tblData[SUMMA])-SUMIF(tblData[PÄIVÄMÄÄRÄ],"&gt;"&amp;EOMONTH(fDate,0),tblData[SUMMA])</f>
        <v>0</v>
      </c>
      <c r="D7" s="49">
        <f ca="1">SUMIF('Tietojen tallentaminen'!$B$6:$B$24,"&gt;="&amp;DATE(fYear,MONTH(fDate),1),'Tietojen tallentaminen'!$E$6:$E$24)-SUMIF('Tietojen tallentaminen'!$B$6:$B$24,"&gt;"&amp;EOMONTH(fDate,0),'Tietojen tallentaminen'!$E$6:$E$24)</f>
        <v>0</v>
      </c>
      <c r="E7" s="49">
        <f ca="1">D7-C7</f>
        <v>0</v>
      </c>
      <c r="F7" s="50" t="str">
        <f ca="1">IFERROR(D7/C7,"-")</f>
        <v>-</v>
      </c>
      <c r="G7" s="49">
        <f ca="1">SUMIF(tblData[PÄIVÄMÄÄRÄ],"&lt;="&amp;EOMONTH(fDate,0),tblData[SUMMA])</f>
        <v>0</v>
      </c>
      <c r="H7" s="49">
        <f ca="1">SUMIF(tblData[PÄIVÄMÄÄRÄ],"&lt;="&amp;EOMONTH(fDate,0),tblData[SUUNNITELTU])</f>
        <v>0</v>
      </c>
      <c r="I7" s="49">
        <f ca="1">H7-G7</f>
        <v>0</v>
      </c>
      <c r="J7" s="51" t="str">
        <f ca="1">IFERROR(H7/G7,"")</f>
        <v/>
      </c>
    </row>
    <row r="8" spans="2:10" s="9" customFormat="1" ht="15" customHeight="1" x14ac:dyDescent="0.2">
      <c r="B8" s="48" t="s">
        <v>38</v>
      </c>
      <c r="C8" s="49">
        <f ca="1">(SUMIF(tblData[PÄIVÄMÄÄRÄ],"&gt;="&amp;DATE(fYear,MONTH(fDate),1),tblData[SUMMA])-SUMIF(tblData[PÄIVÄMÄÄRÄ],"&gt;"&amp;EOMONTH(fDate,0),tblData[SUMMA]))-(SUMIF(tblData[PÄIVÄMÄÄRÄ],"&gt;="&amp;DATE(fYear,MONTH(fDate),1),tblData[KULUT])-SUMIF(tblData[PÄIVÄMÄÄRÄ],"&gt;"&amp;EOMONTH(fDate,0),tblData[KULUT]))</f>
        <v>0</v>
      </c>
      <c r="D8" s="49">
        <f ca="1">(SUMIF('Tietojen tallentaminen'!$B$6:$B$24,"&gt;="&amp;DATE(fYear,MONTH(fDate),1),'Tietojen tallentaminen'!$E$6:$E$24)-SUMIF('Tietojen tallentaminen'!$B$6:$B$24,"&gt;"&amp;EOMONTH(fDate,0),'Tietojen tallentaminen'!$E$6:$E$24))-(SUMIF('Tietojen tallentaminen'!$B$6:$B$24,"&gt;="&amp;DATE(fYear,MONTH(fDate),1),'Tietojen tallentaminen'!$F$6:$F$24)-SUMIF('Tietojen tallentaminen'!$B$6:$B$24,"&gt;"&amp;EOMONTH(fDate,0),'Tietojen tallentaminen'!$F$6:$F$24))</f>
        <v>0</v>
      </c>
      <c r="E8" s="49">
        <f ca="1">D8-C8</f>
        <v>0</v>
      </c>
      <c r="F8" s="50" t="str">
        <f ca="1">IFERROR(D8/C8,"-")</f>
        <v>-</v>
      </c>
      <c r="G8" s="49">
        <f ca="1">SUMIF('Tietojen tallentaminen'!$B$6:$B$24,"&lt;="&amp;EOMONTH(fDate,0),'Tietojen tallentaminen'!$F$6:$F$24)</f>
        <v>0</v>
      </c>
      <c r="H8" s="49">
        <f ca="1">SUMIF(tblData[PÄIVÄMÄÄRÄ],"&lt;="&amp;EOMONTH(fDate,0),tblData[KULUT])</f>
        <v>0</v>
      </c>
      <c r="I8" s="49">
        <f ca="1">H8-G8</f>
        <v>0</v>
      </c>
      <c r="J8" s="51" t="str">
        <f ca="1">IFERROR(H8/G8,"")</f>
        <v/>
      </c>
    </row>
    <row r="9" spans="2:10" s="9" customFormat="1" ht="15" customHeight="1" x14ac:dyDescent="0.2">
      <c r="B9" s="48" t="s">
        <v>39</v>
      </c>
      <c r="C9" s="50" t="str">
        <f ca="1">IFERROR(C8/C7,"-")</f>
        <v>-</v>
      </c>
      <c r="D9" s="50" t="str">
        <f ca="1">IFERROR(D8/D7,"-")</f>
        <v>-</v>
      </c>
      <c r="E9" s="50"/>
      <c r="F9" s="50" t="str">
        <f ca="1">IFERROR(F8/F7,"-")</f>
        <v>-</v>
      </c>
      <c r="G9" s="50" t="str">
        <f ca="1">IFERROR(G8/G7,"")</f>
        <v/>
      </c>
      <c r="H9" s="50" t="str">
        <f ca="1">IFERROR(H8/H7,"")</f>
        <v/>
      </c>
      <c r="I9" s="50"/>
      <c r="J9" s="51" t="str">
        <f ca="1">IFERROR(J8/J7,"")</f>
        <v/>
      </c>
    </row>
    <row r="10" spans="2:10" s="9" customFormat="1" ht="15" customHeight="1" x14ac:dyDescent="0.2">
      <c r="B10" s="48" t="s">
        <v>40</v>
      </c>
      <c r="C10" s="52">
        <f ca="1">COUNTIF(tblData[PÄIVÄMÄÄRÄ],"&gt;="&amp;DATE(fYear,MONTH(fDate),1))-COUNTIF(tblData[PÄIVÄMÄÄRÄ],"&gt;"&amp;EOMONTH(fDate,0))</f>
        <v>0</v>
      </c>
      <c r="D10" s="53"/>
      <c r="E10" s="53"/>
      <c r="F10" s="53"/>
      <c r="G10" s="52">
        <f ca="1">COUNTIF(tblData[PÄIVÄMÄÄRÄ],"&gt;"&amp;EOMONTH(fDate,0))</f>
        <v>0</v>
      </c>
      <c r="H10" s="53"/>
      <c r="I10" s="53"/>
      <c r="J10" s="54"/>
    </row>
    <row r="11" spans="2:10" s="9" customFormat="1" ht="15" customHeight="1" x14ac:dyDescent="0.2">
      <c r="B11" s="48" t="s">
        <v>41</v>
      </c>
      <c r="C11" s="55" t="str">
        <f ca="1">IFERROR(C7/C10,"-")</f>
        <v>-</v>
      </c>
      <c r="D11" s="53"/>
      <c r="E11" s="53"/>
      <c r="F11" s="53"/>
      <c r="G11" s="49" t="str">
        <f ca="1">IFERROR(G7/G10,"-")</f>
        <v>-</v>
      </c>
      <c r="H11" s="53"/>
      <c r="I11" s="53"/>
      <c r="J11" s="54"/>
    </row>
    <row r="12" spans="2:10" ht="27" customHeight="1" x14ac:dyDescent="0.2">
      <c r="B12" s="56"/>
      <c r="C12" s="56"/>
      <c r="D12" s="56"/>
      <c r="E12" s="56"/>
      <c r="F12" s="56"/>
      <c r="G12" s="56"/>
      <c r="H12" s="56"/>
      <c r="I12" s="56"/>
      <c r="J12" s="56"/>
    </row>
    <row r="13" spans="2:10" ht="15.75" customHeight="1" x14ac:dyDescent="0.2">
      <c r="B13" s="57" t="s">
        <v>22</v>
      </c>
      <c r="C13" s="57"/>
      <c r="D13" s="57" t="s">
        <v>42</v>
      </c>
      <c r="E13" s="58"/>
      <c r="F13" s="57" t="s">
        <v>43</v>
      </c>
      <c r="G13" s="58"/>
      <c r="H13" s="57"/>
      <c r="I13" s="57" t="s">
        <v>44</v>
      </c>
      <c r="J13" s="59"/>
    </row>
    <row r="14" spans="2:10" x14ac:dyDescent="0.2">
      <c r="B14" s="60" t="s">
        <v>37</v>
      </c>
      <c r="C14" s="60"/>
      <c r="D14" s="61" t="e">
        <f ca="1">TREND(tblData[[KUUKAUSI ]],tblData[KUUKAUDEN NUMERO (PIILOTA)],IF(MONTH(fDate)=12,13,MONTH(fDate)+1))</f>
        <v>#VALUE!</v>
      </c>
      <c r="E14" s="62"/>
      <c r="F14" s="61" t="e">
        <f ca="1">TREND(tblData[[NELJÄNNES ]],tblData[KUUKAUDEN NUMERO (PIILOTA)],IF(MONTH(fDate)=12,13,MONTH(fDate)+1))</f>
        <v>#VALUE!</v>
      </c>
      <c r="G14" s="62"/>
      <c r="H14" s="63"/>
      <c r="I14" s="61" t="e">
        <f ca="1">TREND(tblData[[VUOSITTAIN ]],tblData[KUUKAUDEN NUMERO (PIILOTA)],IF(MONTH(fDate)=12,13,MONTH(fDate)+1))</f>
        <v>#VALUE!</v>
      </c>
      <c r="J14" s="64"/>
    </row>
    <row r="15" spans="2:10" ht="27" customHeight="1" x14ac:dyDescent="0.2"/>
    <row r="16" spans="2:10" s="65" customFormat="1" ht="27" customHeight="1" x14ac:dyDescent="0.2">
      <c r="B16" s="65" t="s">
        <v>49</v>
      </c>
    </row>
    <row r="30" spans="2:6" s="65" customFormat="1" ht="27" customHeight="1" x14ac:dyDescent="0.2">
      <c r="B30" s="65" t="s">
        <v>45</v>
      </c>
      <c r="F30" s="65" t="s">
        <v>46</v>
      </c>
    </row>
    <row r="38" spans="2:10" s="65" customFormat="1" ht="27" customHeight="1" x14ac:dyDescent="0.2">
      <c r="B38" s="65" t="s">
        <v>47</v>
      </c>
      <c r="F38" s="65" t="s">
        <v>48</v>
      </c>
    </row>
    <row r="43" spans="2:10" x14ac:dyDescent="0.2">
      <c r="J43" s="1" t="s">
        <v>4</v>
      </c>
    </row>
  </sheetData>
  <conditionalFormatting sqref="E2">
    <cfRule type="expression" dxfId="2" priority="3">
      <formula>(LEN($E2)&gt;0)*(LEN($D3)&gt;0)</formula>
    </cfRule>
  </conditionalFormatting>
  <conditionalFormatting sqref="D2">
    <cfRule type="expression" dxfId="1" priority="2">
      <formula>(LEN($D2)&gt;0)*(LEN($C2)=0)</formula>
    </cfRule>
  </conditionalFormatting>
  <conditionalFormatting sqref="F2">
    <cfRule type="expression" dxfId="0" priority="1">
      <formula>(LEN($D2)&gt;0)*(LEN($C2)=0)</formula>
    </cfRule>
  </conditionalFormatting>
  <printOptions horizontalCentered="1" verticalCentered="1"/>
  <pageMargins left="0.25" right="0.25" top="0.75" bottom="0.75" header="0.3" footer="0.3"/>
  <pageSetup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ed321ae-6156-42a7-960a-52334cae8eeb" xsi:nil="true"/>
    <AssetExpire xmlns="fed321ae-6156-42a7-960a-52334cae8eeb">2029-01-01T08:00:00+00:00</AssetExpire>
    <CampaignTagsTaxHTField0 xmlns="fed321ae-6156-42a7-960a-52334cae8eeb">
      <Terms xmlns="http://schemas.microsoft.com/office/infopath/2007/PartnerControls"/>
    </CampaignTagsTaxHTField0>
    <IntlLangReviewDate xmlns="fed321ae-6156-42a7-960a-52334cae8eeb" xsi:nil="true"/>
    <TPFriendlyName xmlns="fed321ae-6156-42a7-960a-52334cae8eeb" xsi:nil="true"/>
    <IntlLangReview xmlns="fed321ae-6156-42a7-960a-52334cae8eeb">false</IntlLangReview>
    <LocLastLocAttemptVersionLookup xmlns="fed321ae-6156-42a7-960a-52334cae8eeb">845880</LocLastLocAttemptVersionLookup>
    <PolicheckWords xmlns="fed321ae-6156-42a7-960a-52334cae8eeb" xsi:nil="true"/>
    <SubmitterId xmlns="fed321ae-6156-42a7-960a-52334cae8eeb" xsi:nil="true"/>
    <AcquiredFrom xmlns="fed321ae-6156-42a7-960a-52334cae8eeb">Internal MS</AcquiredFrom>
    <EditorialStatus xmlns="fed321ae-6156-42a7-960a-52334cae8eeb" xsi:nil="true"/>
    <Markets xmlns="fed321ae-6156-42a7-960a-52334cae8eeb"/>
    <OriginAsset xmlns="fed321ae-6156-42a7-960a-52334cae8eeb" xsi:nil="true"/>
    <AssetStart xmlns="fed321ae-6156-42a7-960a-52334cae8eeb">2012-06-28T22:27:47+00:00</AssetStart>
    <FriendlyTitle xmlns="fed321ae-6156-42a7-960a-52334cae8eeb" xsi:nil="true"/>
    <MarketSpecific xmlns="fed321ae-6156-42a7-960a-52334cae8eeb">false</MarketSpecific>
    <TPNamespace xmlns="fed321ae-6156-42a7-960a-52334cae8eeb" xsi:nil="true"/>
    <PublishStatusLookup xmlns="fed321ae-6156-42a7-960a-52334cae8eeb">
      <Value>394211</Value>
    </PublishStatusLookup>
    <APAuthor xmlns="fed321ae-6156-42a7-960a-52334cae8eeb">
      <UserInfo>
        <DisplayName/>
        <AccountId>2566</AccountId>
        <AccountType/>
      </UserInfo>
    </APAuthor>
    <TPCommandLine xmlns="fed321ae-6156-42a7-960a-52334cae8eeb" xsi:nil="true"/>
    <IntlLangReviewer xmlns="fed321ae-6156-42a7-960a-52334cae8eeb" xsi:nil="true"/>
    <OpenTemplate xmlns="fed321ae-6156-42a7-960a-52334cae8eeb">true</OpenTemplate>
    <CSXSubmissionDate xmlns="fed321ae-6156-42a7-960a-52334cae8eeb" xsi:nil="true"/>
    <TaxCatchAll xmlns="fed321ae-6156-42a7-960a-52334cae8eeb"/>
    <Manager xmlns="fed321ae-6156-42a7-960a-52334cae8eeb" xsi:nil="true"/>
    <NumericId xmlns="fed321ae-6156-42a7-960a-52334cae8eeb" xsi:nil="true"/>
    <ParentAssetId xmlns="fed321ae-6156-42a7-960a-52334cae8eeb" xsi:nil="true"/>
    <OriginalSourceMarket xmlns="fed321ae-6156-42a7-960a-52334cae8eeb">english</OriginalSourceMarket>
    <ApprovalStatus xmlns="fed321ae-6156-42a7-960a-52334cae8eeb">InProgress</ApprovalStatus>
    <TPComponent xmlns="fed321ae-6156-42a7-960a-52334cae8eeb" xsi:nil="true"/>
    <EditorialTags xmlns="fed321ae-6156-42a7-960a-52334cae8eeb" xsi:nil="true"/>
    <TPExecutable xmlns="fed321ae-6156-42a7-960a-52334cae8eeb" xsi:nil="true"/>
    <TPLaunchHelpLink xmlns="fed321ae-6156-42a7-960a-52334cae8eeb" xsi:nil="true"/>
    <LocComments xmlns="fed321ae-6156-42a7-960a-52334cae8eeb" xsi:nil="true"/>
    <LocRecommendedHandoff xmlns="fed321ae-6156-42a7-960a-52334cae8eeb" xsi:nil="true"/>
    <SourceTitle xmlns="fed321ae-6156-42a7-960a-52334cae8eeb" xsi:nil="true"/>
    <CSXUpdate xmlns="fed321ae-6156-42a7-960a-52334cae8eeb">false</CSXUpdate>
    <IntlLocPriority xmlns="fed321ae-6156-42a7-960a-52334cae8eeb" xsi:nil="true"/>
    <UAProjectedTotalWords xmlns="fed321ae-6156-42a7-960a-52334cae8eeb" xsi:nil="true"/>
    <AssetType xmlns="fed321ae-6156-42a7-960a-52334cae8eeb" xsi:nil="true"/>
    <MachineTranslated xmlns="fed321ae-6156-42a7-960a-52334cae8eeb">false</MachineTranslated>
    <OutputCachingOn xmlns="fed321ae-6156-42a7-960a-52334cae8eeb">false</OutputCachingOn>
    <TemplateStatus xmlns="fed321ae-6156-42a7-960a-52334cae8eeb">Complete</TemplateStatus>
    <IsSearchable xmlns="fed321ae-6156-42a7-960a-52334cae8eeb">false</IsSearchable>
    <ContentItem xmlns="fed321ae-6156-42a7-960a-52334cae8eeb" xsi:nil="true"/>
    <HandoffToMSDN xmlns="fed321ae-6156-42a7-960a-52334cae8eeb" xsi:nil="true"/>
    <ShowIn xmlns="fed321ae-6156-42a7-960a-52334cae8eeb">Show everywhere</ShowIn>
    <ThumbnailAssetId xmlns="fed321ae-6156-42a7-960a-52334cae8eeb" xsi:nil="true"/>
    <UALocComments xmlns="fed321ae-6156-42a7-960a-52334cae8eeb" xsi:nil="true"/>
    <UALocRecommendation xmlns="fed321ae-6156-42a7-960a-52334cae8eeb">Localize</UALocRecommendation>
    <LastModifiedDateTime xmlns="fed321ae-6156-42a7-960a-52334cae8eeb" xsi:nil="true"/>
    <LegacyData xmlns="fed321ae-6156-42a7-960a-52334cae8eeb" xsi:nil="true"/>
    <LocManualTestRequired xmlns="fed321ae-6156-42a7-960a-52334cae8eeb">false</LocManualTestRequired>
    <LocMarketGroupTiers2 xmlns="fed321ae-6156-42a7-960a-52334cae8eeb" xsi:nil="true"/>
    <ClipArtFilename xmlns="fed321ae-6156-42a7-960a-52334cae8eeb" xsi:nil="true"/>
    <TPApplication xmlns="fed321ae-6156-42a7-960a-52334cae8eeb" xsi:nil="true"/>
    <CSXHash xmlns="fed321ae-6156-42a7-960a-52334cae8eeb" xsi:nil="true"/>
    <DirectSourceMarket xmlns="fed321ae-6156-42a7-960a-52334cae8eeb">english</DirectSourceMarket>
    <PrimaryImageGen xmlns="fed321ae-6156-42a7-960a-52334cae8eeb">false</PrimaryImageGen>
    <PlannedPubDate xmlns="fed321ae-6156-42a7-960a-52334cae8eeb" xsi:nil="true"/>
    <CSXSubmissionMarket xmlns="fed321ae-6156-42a7-960a-52334cae8eeb" xsi:nil="true"/>
    <Downloads xmlns="fed321ae-6156-42a7-960a-52334cae8eeb">0</Downloads>
    <ArtSampleDocs xmlns="fed321ae-6156-42a7-960a-52334cae8eeb" xsi:nil="true"/>
    <TrustLevel xmlns="fed321ae-6156-42a7-960a-52334cae8eeb">1 Microsoft Managed Content</TrustLevel>
    <BlockPublish xmlns="fed321ae-6156-42a7-960a-52334cae8eeb">false</BlockPublish>
    <TPLaunchHelpLinkType xmlns="fed321ae-6156-42a7-960a-52334cae8eeb">Template</TPLaunchHelpLinkType>
    <LocalizationTagsTaxHTField0 xmlns="fed321ae-6156-42a7-960a-52334cae8eeb">
      <Terms xmlns="http://schemas.microsoft.com/office/infopath/2007/PartnerControls"/>
    </LocalizationTagsTaxHTField0>
    <BusinessGroup xmlns="fed321ae-6156-42a7-960a-52334cae8eeb" xsi:nil="true"/>
    <Providers xmlns="fed321ae-6156-42a7-960a-52334cae8eeb" xsi:nil="true"/>
    <TemplateTemplateType xmlns="fed321ae-6156-42a7-960a-52334cae8eeb">Excel Spreadsheet Template</TemplateTemplateType>
    <TimesCloned xmlns="fed321ae-6156-42a7-960a-52334cae8eeb" xsi:nil="true"/>
    <TPAppVersion xmlns="fed321ae-6156-42a7-960a-52334cae8eeb" xsi:nil="true"/>
    <VoteCount xmlns="fed321ae-6156-42a7-960a-52334cae8eeb" xsi:nil="true"/>
    <FeatureTagsTaxHTField0 xmlns="fed321ae-6156-42a7-960a-52334cae8eeb">
      <Terms xmlns="http://schemas.microsoft.com/office/infopath/2007/PartnerControls"/>
    </FeatureTagsTaxHTField0>
    <Provider xmlns="fed321ae-6156-42a7-960a-52334cae8eeb" xsi:nil="true"/>
    <UACurrentWords xmlns="fed321ae-6156-42a7-960a-52334cae8eeb" xsi:nil="true"/>
    <AssetId xmlns="fed321ae-6156-42a7-960a-52334cae8eeb">TP102929974</AssetId>
    <TPClientViewer xmlns="fed321ae-6156-42a7-960a-52334cae8eeb" xsi:nil="true"/>
    <DSATActionTaken xmlns="fed321ae-6156-42a7-960a-52334cae8eeb" xsi:nil="true"/>
    <APEditor xmlns="fed321ae-6156-42a7-960a-52334cae8eeb">
      <UserInfo>
        <DisplayName/>
        <AccountId xsi:nil="true"/>
        <AccountType/>
      </UserInfo>
    </APEditor>
    <TPInstallLocation xmlns="fed321ae-6156-42a7-960a-52334cae8eeb" xsi:nil="true"/>
    <OOCacheId xmlns="fed321ae-6156-42a7-960a-52334cae8eeb" xsi:nil="true"/>
    <IsDeleted xmlns="fed321ae-6156-42a7-960a-52334cae8eeb">false</IsDeleted>
    <PublishTargets xmlns="fed321ae-6156-42a7-960a-52334cae8eeb">OfficeOnlineVNext</PublishTargets>
    <ApprovalLog xmlns="fed321ae-6156-42a7-960a-52334cae8eeb" xsi:nil="true"/>
    <BugNumber xmlns="fed321ae-6156-42a7-960a-52334cae8eeb" xsi:nil="true"/>
    <CrawlForDependencies xmlns="fed321ae-6156-42a7-960a-52334cae8eeb">false</CrawlForDependencies>
    <InternalTagsTaxHTField0 xmlns="fed321ae-6156-42a7-960a-52334cae8eeb">
      <Terms xmlns="http://schemas.microsoft.com/office/infopath/2007/PartnerControls"/>
    </InternalTagsTaxHTField0>
    <LastHandOff xmlns="fed321ae-6156-42a7-960a-52334cae8eeb" xsi:nil="true"/>
    <Milestone xmlns="fed321ae-6156-42a7-960a-52334cae8eeb" xsi:nil="true"/>
    <OriginalRelease xmlns="fed321ae-6156-42a7-960a-52334cae8eeb">15</OriginalRelease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UANotes xmlns="fed321ae-6156-42a7-960a-52334cae8ee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DE6788-D1FD-452D-A3B7-55A6390F72E3}">
  <ds:schemaRefs>
    <ds:schemaRef ds:uri="http://schemas.microsoft.com/office/2006/metadata/properties"/>
    <ds:schemaRef ds:uri="http://schemas.microsoft.com/office/infopath/2007/PartnerControls"/>
    <ds:schemaRef ds:uri="fed321ae-6156-42a7-960a-52334cae8eeb"/>
  </ds:schemaRefs>
</ds:datastoreItem>
</file>

<file path=customXml/itemProps2.xml><?xml version="1.0" encoding="utf-8"?>
<ds:datastoreItem xmlns:ds="http://schemas.openxmlformats.org/officeDocument/2006/customXml" ds:itemID="{0AEE7169-E8EC-4E19-BA48-3F46D4C388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BF9730-EA3B-4674-858D-045249CB2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321ae-6156-42a7-960a-52334cae8e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Tietojen tallentaminen</vt:lpstr>
      <vt:lpstr>Myyntiraportti</vt:lpstr>
      <vt:lpstr>Myyntiennuste</vt:lpstr>
      <vt:lpstr>fDate</vt:lpstr>
      <vt:lpstr>fDay</vt:lpstr>
      <vt:lpstr>fMonth</vt:lpstr>
      <vt:lpstr>ForecastDate</vt:lpstr>
      <vt:lpstr>fYear</vt:lpstr>
      <vt:lpstr>Myyntiennuste!Print_Area</vt:lpstr>
      <vt:lpstr>Myyntiraportti!Print_Area</vt:lpstr>
      <vt:lpstr>'Tietojen tallentaminen'!Print_Area</vt:lpstr>
      <vt:lpstr>Myyntiraportti!Print_Titles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Harika Kokkonda (HCL Technologies Ltd)</cp:lastModifiedBy>
  <dcterms:created xsi:type="dcterms:W3CDTF">2012-06-20T20:17:06Z</dcterms:created>
  <dcterms:modified xsi:type="dcterms:W3CDTF">2012-12-11T21:37:52Z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