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fi-FI/"/>
    </mc:Choice>
  </mc:AlternateContent>
  <xr:revisionPtr revIDLastSave="0" documentId="13_ncr:3_{FCD864EB-6ED6-4749-A0ED-45D67E4B11C3}" xr6:coauthVersionLast="43" xr6:coauthVersionMax="43" xr10:uidLastSave="{00000000-0000-0000-0000-000000000000}"/>
  <bookViews>
    <workbookView xWindow="-120" yWindow="-120" windowWidth="28620" windowHeight="14400" xr2:uid="{00000000-000D-0000-FFFF-FFFF00000000}"/>
  </bookViews>
  <sheets>
    <sheet name="Vuosikalenteri" sheetId="1" r:id="rId1"/>
  </sheets>
  <definedNames>
    <definedName name="elosu1">DATE(Kalenterivuosi,8,1)-WEEKDAY(DATE(Kalenterivuosi,8,1))+1</definedName>
    <definedName name="heinäsu1">DATE(Kalenterivuosi,7,1)-WEEKDAY(DATE(Kalenterivuosi,7,1))+1</definedName>
    <definedName name="helmisu1">DATE(Kalenterivuosi,2,1)-WEEKDAY(DATE(Kalenterivuosi,2,1))+1</definedName>
    <definedName name="huhtisu1">DATE(Kalenterivuosi,4,1)-WEEKDAY(DATE(Kalenterivuosi,4,1))+1</definedName>
    <definedName name="joulusu1">DATE(Kalenterivuosi,12,1)-WEEKDAY(DATE(Kalenterivuosi,12,1))+1</definedName>
    <definedName name="Kalenterivuosi">Vuosikalenteri!$C$1</definedName>
    <definedName name="kesäsu1">DATE(Kalenterivuosi,6,1)-WEEKDAY(DATE(Kalenterivuosi,6,1))+1</definedName>
    <definedName name="lokasu1">DATE(Kalenterivuosi,10,1)-WEEKDAY(DATE(Kalenterivuosi,10,1))+1</definedName>
    <definedName name="maalissu1">DATE(Kalenterivuosi,3,1)-WEEKDAY(DATE(Kalenterivuosi,3,1))+1</definedName>
    <definedName name="marrassu1">DATE(Kalenterivuosi,11,1)-WEEKDAY(DATE(Kalenterivuosi,11,1))+1</definedName>
    <definedName name="syyssu1">DATE(Kalenterivuosi,9,1)-WEEKDAY(DATE(Kalenterivuosi,9,1))+1</definedName>
    <definedName name="tammisu1">DATE(Kalenterivuosi,1,1)-WEEKDAY(DATE(Kalenterivuosi,1,1))+1</definedName>
    <definedName name="toukosu1">DATE(Kalenterivuosi,5,1)-WEEKDAY(DATE(Kalenterivuosi,5,1))+1</definedName>
    <definedName name="_xlnm.Print_Area" localSheetId="0">Vuosikalenteri!$B$1:$W$55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<sst xmlns="http://schemas.openxmlformats.org/spreadsheetml/2006/main" count="108" uniqueCount="30">
  <si>
    <t>TAMMIKUU</t>
  </si>
  <si>
    <t>M</t>
  </si>
  <si>
    <t>MAALISKUU</t>
  </si>
  <si>
    <t>TOUKOKUU</t>
  </si>
  <si>
    <t>HEINÄKUU</t>
  </si>
  <si>
    <t>SYYSKUU</t>
  </si>
  <si>
    <t>MARRASKUU</t>
  </si>
  <si>
    <t>T</t>
  </si>
  <si>
    <t>K</t>
  </si>
  <si>
    <t>P</t>
  </si>
  <si>
    <t>L</t>
  </si>
  <si>
    <t>S</t>
  </si>
  <si>
    <t>HELMIKUU</t>
  </si>
  <si>
    <t>HUHTIKUU</t>
  </si>
  <si>
    <t>KESÄKUU</t>
  </si>
  <si>
    <t>ELOKUU</t>
  </si>
  <si>
    <t>LOKAKUU</t>
  </si>
  <si>
    <t>JOULUKUU</t>
  </si>
  <si>
    <t>TÄRKEÄT PÄIVÄMÄÄRÄT</t>
  </si>
  <si>
    <t>1. TAMMIKUUTA</t>
  </si>
  <si>
    <t>UUDENVUODENPÄIVÄ</t>
  </si>
  <si>
    <t>14. HELMIKUUTA</t>
  </si>
  <si>
    <t>YSTÄVÄNPÄIVÄ</t>
  </si>
  <si>
    <t>22. HELMIKUUTA</t>
  </si>
  <si>
    <t>AVOIMIEN OVIEN PÄIVÄ</t>
  </si>
  <si>
    <t>123 Green Drive</t>
  </si>
  <si>
    <t>Springfield, NY 76543</t>
  </si>
  <si>
    <t>456.555.0123</t>
  </si>
  <si>
    <t>info@contoso.com</t>
  </si>
  <si>
    <t>www.contoso.com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</si>
</sst>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d"/>
  </numFmts>
  <fonts count="3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13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0" fillId="2" borderId="0" xfId="0" applyFont="1" applyFill="1"/>
    <xf numFmtId="0" fontId="6" fillId="2" borderId="0" xfId="0" applyFont="1" applyFill="1"/>
    <xf numFmtId="0" fontId="0" fillId="2" borderId="0" xfId="0" applyFont="1" applyFill="1" applyBorder="1"/>
    <xf numFmtId="0" fontId="7" fillId="2" borderId="0" xfId="0" applyFont="1" applyFill="1" applyAlignment="1">
      <alignment vertical="center"/>
    </xf>
    <xf numFmtId="49" fontId="0" fillId="0" borderId="0" xfId="0" applyNumberFormat="1" applyFont="1"/>
    <xf numFmtId="49" fontId="9" fillId="0" borderId="0" xfId="0" applyNumberFormat="1" applyFont="1"/>
    <xf numFmtId="49" fontId="0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 horizontal="left"/>
    </xf>
    <xf numFmtId="0" fontId="0" fillId="2" borderId="0" xfId="0" applyFill="1"/>
    <xf numFmtId="0" fontId="5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49" fontId="9" fillId="0" borderId="1" xfId="0" applyNumberFormat="1" applyFont="1" applyBorder="1"/>
    <xf numFmtId="49" fontId="11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0" xfId="0" applyNumberFormat="1" applyFont="1"/>
    <xf numFmtId="0" fontId="8" fillId="0" borderId="0" xfId="0" applyNumberFormat="1" applyFo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NumberFormat="1" applyFont="1" applyFill="1" applyBorder="1"/>
  </cellXfs>
  <cellStyles count="47">
    <cellStyle name="20 % - Aksentti1" xfId="24" builtinId="30" customBuiltin="1"/>
    <cellStyle name="20 % - Aksentti2" xfId="28" builtinId="34" customBuiltin="1"/>
    <cellStyle name="20 % - Aksentti3" xfId="32" builtinId="38" customBuiltin="1"/>
    <cellStyle name="20 % - Aksentti4" xfId="36" builtinId="42" customBuiltin="1"/>
    <cellStyle name="20 % - Aksentti5" xfId="40" builtinId="46" customBuiltin="1"/>
    <cellStyle name="20 % - Aksentti6" xfId="44" builtinId="50" customBuiltin="1"/>
    <cellStyle name="40 % - Aksentti1" xfId="25" builtinId="31" customBuiltin="1"/>
    <cellStyle name="40 % - Aksentti2" xfId="29" builtinId="35" customBuiltin="1"/>
    <cellStyle name="40 % - Aksentti3" xfId="33" builtinId="39" customBuiltin="1"/>
    <cellStyle name="40 % - Aksentti4" xfId="37" builtinId="43" customBuiltin="1"/>
    <cellStyle name="40 % - Aksentti5" xfId="41" builtinId="47" customBuiltin="1"/>
    <cellStyle name="40 % - Aksentti6" xfId="45" builtinId="51" customBuiltin="1"/>
    <cellStyle name="60 % - Aksentti1" xfId="26" builtinId="32" customBuiltin="1"/>
    <cellStyle name="60 % - Aksentti2" xfId="30" builtinId="36" customBuiltin="1"/>
    <cellStyle name="60 % - Aksentti3" xfId="34" builtinId="40" customBuiltin="1"/>
    <cellStyle name="60 % - Aksentti4" xfId="38" builtinId="44" customBuiltin="1"/>
    <cellStyle name="60 % - Aksentti5" xfId="42" builtinId="48" customBuiltin="1"/>
    <cellStyle name="60 % - Aksentti6" xfId="46" builtinId="52" customBuiltin="1"/>
    <cellStyle name="Aksentti1" xfId="23" builtinId="29" customBuiltin="1"/>
    <cellStyle name="Aksentti2" xfId="27" builtinId="33" customBuiltin="1"/>
    <cellStyle name="Aksentti3" xfId="31" builtinId="37" customBuiltin="1"/>
    <cellStyle name="Aksentti4" xfId="35" builtinId="41" customBuiltin="1"/>
    <cellStyle name="Aksentti5" xfId="39" builtinId="45" customBuiltin="1"/>
    <cellStyle name="Aksentti6" xfId="43" builtinId="49" customBuiltin="1"/>
    <cellStyle name="Huomautus" xfId="20" builtinId="10" customBuiltin="1"/>
    <cellStyle name="Huono" xfId="12" builtinId="27" customBuiltin="1"/>
    <cellStyle name="Hyvä" xfId="11" builtinId="26" customBuiltin="1"/>
    <cellStyle name="Laskenta" xfId="16" builtinId="22" customBuiltin="1"/>
    <cellStyle name="Linkitetty solu" xfId="17" builtinId="24" customBuiltin="1"/>
    <cellStyle name="Neutraali" xfId="13" builtinId="28" customBuiltin="1"/>
    <cellStyle name="Normaali" xfId="0" builtinId="0" customBuiltin="1"/>
    <cellStyle name="Otsikko" xfId="6" builtinId="15" customBuiltin="1"/>
    <cellStyle name="Otsikko 1" xfId="7" builtinId="16" customBuiltin="1"/>
    <cellStyle name="Otsikko 2" xfId="8" builtinId="17" customBuiltin="1"/>
    <cellStyle name="Otsikko 3" xfId="9" builtinId="18" customBuiltin="1"/>
    <cellStyle name="Otsikko 4" xfId="10" builtinId="19" customBuiltin="1"/>
    <cellStyle name="Pilkku" xfId="1" builtinId="3" customBuiltin="1"/>
    <cellStyle name="Pilkku [0]" xfId="2" builtinId="6" customBuiltin="1"/>
    <cellStyle name="Prosenttia" xfId="5" builtinId="5" customBuiltin="1"/>
    <cellStyle name="Selittävä teksti" xfId="21" builtinId="53" customBuiltin="1"/>
    <cellStyle name="Summa" xfId="22" builtinId="25" customBuiltin="1"/>
    <cellStyle name="Syöttö" xfId="14" builtinId="20" customBuiltin="1"/>
    <cellStyle name="Tarkistussolu" xfId="18" builtinId="23" customBuiltin="1"/>
    <cellStyle name="Tulostus" xfId="15" builtinId="21" customBuiltin="1"/>
    <cellStyle name="Valuutta" xfId="3" builtinId="4" customBuiltin="1"/>
    <cellStyle name="Valuutta [0]" xfId="4" builtinId="7" customBuiltin="1"/>
    <cellStyle name="Varoitusteksti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ehdet" descr="Kuusi lehteä sijoitettuina kalenterin oikealle puolelle eri etäisyyksille ja eri kulmiin." title="Kalenterikuva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Askellin" descr="Vaihda kalenterin vuosi askellinpainikkeen avulla tai kirjoita vuosi soluun B1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38099</xdr:colOff>
      <xdr:row>1</xdr:row>
      <xdr:rowOff>9526</xdr:rowOff>
    </xdr:from>
    <xdr:to>
      <xdr:col>11</xdr:col>
      <xdr:colOff>228599</xdr:colOff>
      <xdr:row>2</xdr:row>
      <xdr:rowOff>66675</xdr:rowOff>
    </xdr:to>
    <xdr:sp macro="" textlink="">
      <xdr:nvSpPr>
        <xdr:cNvPr id="6" name="Ohjee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4" y="390526"/>
          <a:ext cx="305752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fi" sz="1000" b="0" i="1">
              <a:solidFill>
                <a:schemeClr val="accent5"/>
              </a:solidFill>
              <a:latin typeface="Calibri" panose="020F0502020204030204" pitchFamily="34" charset="0"/>
            </a:rPr>
            <a:t>Vaihda kalenterin</a:t>
          </a:r>
          <a:r>
            <a:rPr lang="fi" sz="1000" b="0" i="1" baseline="0">
              <a:solidFill>
                <a:schemeClr val="accent5"/>
              </a:solidFill>
              <a:latin typeface="Calibri" panose="020F0502020204030204" pitchFamily="34" charset="0"/>
            </a:rPr>
            <a:t> vuosi askellinta napsauttamalla</a:t>
          </a:r>
          <a:endParaRPr lang="en-US" sz="1000" b="0" i="1">
            <a:solidFill>
              <a:schemeClr val="accent5"/>
            </a:solidFill>
            <a:latin typeface="Calibri" panose="020F0502020204030204" pitchFamily="34" charset="0"/>
          </a:endParaRP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Voit vaihtaa tämän logon napsauttamalla kuvaa hiiren kakkospainikkeella ja valitsemalla Muuta kuva" title="Yrityksen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AP69"/>
  <sheetViews>
    <sheetView showGridLines="0" tabSelected="1" zoomScaleNormal="100" workbookViewId="0"/>
  </sheetViews>
  <sheetFormatPr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5" style="1"/>
  </cols>
  <sheetData>
    <row r="1" spans="1:42" ht="30" customHeight="1" x14ac:dyDescent="0.2">
      <c r="B1" s="5"/>
      <c r="C1" s="37">
        <f ca="1">YEAR(TODAY())</f>
        <v>2019</v>
      </c>
      <c r="D1" s="37"/>
      <c r="E1" s="37"/>
      <c r="F1" s="37"/>
      <c r="G1" s="1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"/>
      <c r="T1" s="14"/>
      <c r="U1" s="8" t="s">
        <v>18</v>
      </c>
      <c r="V1" s="5"/>
      <c r="W1" s="5"/>
      <c r="X1"/>
      <c r="Y1"/>
      <c r="Z1"/>
      <c r="AA1"/>
    </row>
    <row r="2" spans="1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42" ht="15" customHeight="1" x14ac:dyDescent="0.25">
      <c r="B3" s="2"/>
      <c r="C3" s="16" t="s">
        <v>0</v>
      </c>
      <c r="D3" s="3"/>
      <c r="E3" s="3"/>
      <c r="F3" s="3"/>
      <c r="G3" s="3"/>
      <c r="H3" s="3"/>
      <c r="I3" s="3"/>
      <c r="J3" s="19"/>
      <c r="K3" s="4" t="s">
        <v>12</v>
      </c>
      <c r="L3" s="3"/>
      <c r="M3" s="3"/>
      <c r="N3" s="3"/>
      <c r="O3" s="3"/>
      <c r="P3" s="3"/>
      <c r="Q3" s="3"/>
      <c r="R3" s="2"/>
      <c r="S3" s="7"/>
      <c r="U3" s="12" t="s">
        <v>19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2">
      <c r="B4" s="2"/>
      <c r="C4" s="24" t="s">
        <v>1</v>
      </c>
      <c r="D4" s="24" t="s">
        <v>7</v>
      </c>
      <c r="E4" s="24" t="s">
        <v>8</v>
      </c>
      <c r="F4" s="24" t="s">
        <v>7</v>
      </c>
      <c r="G4" s="24" t="s">
        <v>9</v>
      </c>
      <c r="H4" s="24" t="s">
        <v>10</v>
      </c>
      <c r="I4" s="24" t="s">
        <v>11</v>
      </c>
      <c r="J4" s="20"/>
      <c r="K4" s="25" t="s">
        <v>1</v>
      </c>
      <c r="L4" s="25" t="s">
        <v>7</v>
      </c>
      <c r="M4" s="25" t="s">
        <v>8</v>
      </c>
      <c r="N4" s="25" t="s">
        <v>7</v>
      </c>
      <c r="O4" s="25" t="s">
        <v>9</v>
      </c>
      <c r="P4" s="25" t="s">
        <v>10</v>
      </c>
      <c r="Q4" s="25" t="s">
        <v>11</v>
      </c>
      <c r="R4" s="2"/>
      <c r="S4" s="5"/>
      <c r="U4" s="18" t="s">
        <v>20</v>
      </c>
      <c r="Z4" s="2"/>
      <c r="AH4" s="2"/>
      <c r="AP4" s="2"/>
    </row>
    <row r="5" spans="1:42" ht="15" customHeight="1" x14ac:dyDescent="0.2">
      <c r="B5" s="2"/>
      <c r="C5" s="36" t="str">
        <f ca="1">IF(DAY(tammisu1)=1,"",IF(AND(YEAR(tammisu1+1)=Kalenterivuosi,MONTH(tammisu1+1)=1),tammisu1+1,""))</f>
        <v/>
      </c>
      <c r="D5" s="36">
        <f ca="1">IF(DAY(tammisu1)=1,"",IF(AND(YEAR(tammisu1+2)=Kalenterivuosi,MONTH(tammisu1+2)=1),tammisu1+2,""))</f>
        <v>43466</v>
      </c>
      <c r="E5" s="36">
        <f ca="1">IF(DAY(tammisu1)=1,"",IF(AND(YEAR(tammisu1+3)=Kalenterivuosi,MONTH(tammisu1+3)=1),tammisu1+3,""))</f>
        <v>43467</v>
      </c>
      <c r="F5" s="36">
        <f ca="1">IF(DAY(tammisu1)=1,"",IF(AND(YEAR(tammisu1+4)=Kalenterivuosi,MONTH(tammisu1+4)=1),tammisu1+4,""))</f>
        <v>43468</v>
      </c>
      <c r="G5" s="36">
        <f ca="1">IF(DAY(tammisu1)=1,"",IF(AND(YEAR(tammisu1+5)=Kalenterivuosi,MONTH(tammisu1+5)=1),tammisu1+5,""))</f>
        <v>43469</v>
      </c>
      <c r="H5" s="36">
        <f ca="1">IF(DAY(tammisu1)=1,"",IF(AND(YEAR(tammisu1+6)=Kalenterivuosi,MONTH(tammisu1+6)=1),tammisu1+6,""))</f>
        <v>43470</v>
      </c>
      <c r="I5" s="36">
        <f ca="1">IF(DAY(tammisu1)=1,IF(AND(YEAR(tammisu1)=Kalenterivuosi,MONTH(tammisu1)=1),tammisu1,""),IF(AND(YEAR(tammisu1+7)=Kalenterivuosi,MONTH(tammisu1+7)=1),tammisu1+7,""))</f>
        <v>43471</v>
      </c>
      <c r="J5" s="20"/>
      <c r="K5" s="36" t="str">
        <f ca="1">IF(DAY(helmisu1)=1,"",IF(AND(YEAR(helmisu1+1)=Kalenterivuosi,MONTH(helmisu1+1)=2),helmisu1+1,""))</f>
        <v/>
      </c>
      <c r="L5" s="36" t="str">
        <f ca="1">IF(DAY(helmisu1)=1,"",IF(AND(YEAR(helmisu1+2)=Kalenterivuosi,MONTH(helmisu1+2)=2),helmisu1+2,""))</f>
        <v/>
      </c>
      <c r="M5" s="36" t="str">
        <f ca="1">IF(DAY(helmisu1)=1,"",IF(AND(YEAR(helmisu1+3)=Kalenterivuosi,MONTH(helmisu1+3)=2),helmisu1+3,""))</f>
        <v/>
      </c>
      <c r="N5" s="36" t="str">
        <f ca="1">IF(DAY(helmisu1)=1,"",IF(AND(YEAR(helmisu1+4)=Kalenterivuosi,MONTH(helmisu1+4)=2),helmisu1+4,""))</f>
        <v/>
      </c>
      <c r="O5" s="36">
        <f ca="1">IF(DAY(helmisu1)=1,"",IF(AND(YEAR(helmisu1+5)=Kalenterivuosi,MONTH(helmisu1+5)=2),helmisu1+5,""))</f>
        <v>43497</v>
      </c>
      <c r="P5" s="36">
        <f ca="1">IF(DAY(helmisu1)=1,"",IF(AND(YEAR(helmisu1+6)=Kalenterivuosi,MONTH(helmisu1+6)=2),helmisu1+6,""))</f>
        <v>43498</v>
      </c>
      <c r="Q5" s="36">
        <f ca="1">IF(DAY(helmisu1)=1,IF(AND(YEAR(helmisu1)=Kalenterivuosi,MONTH(helmisu1)=2),helmisu1,""),IF(AND(YEAR(helmisu1+7)=Kalenterivuosi,MONTH(helmisu1+7)=2),helmisu1+7,""))</f>
        <v>43499</v>
      </c>
      <c r="R5" s="2"/>
      <c r="S5" s="5"/>
      <c r="U5" s="11"/>
      <c r="Z5" s="2"/>
      <c r="AH5" s="2"/>
      <c r="AP5" s="2"/>
    </row>
    <row r="6" spans="1:42" ht="15" customHeight="1" x14ac:dyDescent="0.2">
      <c r="B6" s="2"/>
      <c r="C6" s="36">
        <f ca="1">IF(DAY(tammisu1)=1,IF(AND(YEAR(tammisu1+1)=Kalenterivuosi,MONTH(tammisu1+1)=1),tammisu1+1,""),IF(AND(YEAR(tammisu1+8)=Kalenterivuosi,MONTH(tammisu1+8)=1),tammisu1+8,""))</f>
        <v>43472</v>
      </c>
      <c r="D6" s="36">
        <f ca="1">IF(DAY(tammisu1)=1,IF(AND(YEAR(tammisu1+2)=Kalenterivuosi,MONTH(tammisu1+2)=1),tammisu1+2,""),IF(AND(YEAR(tammisu1+9)=Kalenterivuosi,MONTH(tammisu1+9)=1),tammisu1+9,""))</f>
        <v>43473</v>
      </c>
      <c r="E6" s="36">
        <f ca="1">IF(DAY(tammisu1)=1,IF(AND(YEAR(tammisu1+3)=Kalenterivuosi,MONTH(tammisu1+3)=1),tammisu1+3,""),IF(AND(YEAR(tammisu1+10)=Kalenterivuosi,MONTH(tammisu1+10)=1),tammisu1+10,""))</f>
        <v>43474</v>
      </c>
      <c r="F6" s="36">
        <f ca="1">IF(DAY(tammisu1)=1,IF(AND(YEAR(tammisu1+4)=Kalenterivuosi,MONTH(tammisu1+4)=1),tammisu1+4,""),IF(AND(YEAR(tammisu1+11)=Kalenterivuosi,MONTH(tammisu1+11)=1),tammisu1+11,""))</f>
        <v>43475</v>
      </c>
      <c r="G6" s="36">
        <f ca="1">IF(DAY(tammisu1)=1,IF(AND(YEAR(tammisu1+5)=Kalenterivuosi,MONTH(tammisu1+5)=1),tammisu1+5,""),IF(AND(YEAR(tammisu1+12)=Kalenterivuosi,MONTH(tammisu1+12)=1),tammisu1+12,""))</f>
        <v>43476</v>
      </c>
      <c r="H6" s="36">
        <f ca="1">IF(DAY(tammisu1)=1,IF(AND(YEAR(tammisu1+6)=Kalenterivuosi,MONTH(tammisu1+6)=1),tammisu1+6,""),IF(AND(YEAR(tammisu1+13)=Kalenterivuosi,MONTH(tammisu1+13)=1),tammisu1+13,""))</f>
        <v>43477</v>
      </c>
      <c r="I6" s="36">
        <f ca="1">IF(DAY(tammisu1)=1,IF(AND(YEAR(tammisu1+7)=Kalenterivuosi,MONTH(tammisu1+7)=1),tammisu1+7,""),IF(AND(YEAR(tammisu1+14)=Kalenterivuosi,MONTH(tammisu1+14)=1),tammisu1+14,""))</f>
        <v>43478</v>
      </c>
      <c r="J6" s="20"/>
      <c r="K6" s="36">
        <f ca="1">IF(DAY(helmisu1)=1,IF(AND(YEAR(helmisu1+1)=Kalenterivuosi,MONTH(helmisu1+1)=2),helmisu1+1,""),IF(AND(YEAR(helmisu1+8)=Kalenterivuosi,MONTH(helmisu1+8)=2),helmisu1+8,""))</f>
        <v>43500</v>
      </c>
      <c r="L6" s="36">
        <f ca="1">IF(DAY(helmisu1)=1,IF(AND(YEAR(helmisu1+2)=Kalenterivuosi,MONTH(helmisu1+2)=2),helmisu1+2,""),IF(AND(YEAR(helmisu1+9)=Kalenterivuosi,MONTH(helmisu1+9)=2),helmisu1+9,""))</f>
        <v>43501</v>
      </c>
      <c r="M6" s="36">
        <f ca="1">IF(DAY(helmisu1)=1,IF(AND(YEAR(helmisu1+3)=Kalenterivuosi,MONTH(helmisu1+3)=2),helmisu1+3,""),IF(AND(YEAR(helmisu1+10)=Kalenterivuosi,MONTH(helmisu1+10)=2),helmisu1+10,""))</f>
        <v>43502</v>
      </c>
      <c r="N6" s="36">
        <f ca="1">IF(DAY(helmisu1)=1,IF(AND(YEAR(helmisu1+4)=Kalenterivuosi,MONTH(helmisu1+4)=2),helmisu1+4,""),IF(AND(YEAR(helmisu1+11)=Kalenterivuosi,MONTH(helmisu1+11)=2),helmisu1+11,""))</f>
        <v>43503</v>
      </c>
      <c r="O6" s="36">
        <f ca="1">IF(DAY(helmisu1)=1,IF(AND(YEAR(helmisu1+5)=Kalenterivuosi,MONTH(helmisu1+5)=2),helmisu1+5,""),IF(AND(YEAR(helmisu1+12)=Kalenterivuosi,MONTH(helmisu1+12)=2),helmisu1+12,""))</f>
        <v>43504</v>
      </c>
      <c r="P6" s="36">
        <f ca="1">IF(DAY(helmisu1)=1,IF(AND(YEAR(helmisu1+6)=Kalenterivuosi,MONTH(helmisu1+6)=2),helmisu1+6,""),IF(AND(YEAR(helmisu1+13)=Kalenterivuosi,MONTH(helmisu1+13)=2),helmisu1+13,""))</f>
        <v>43505</v>
      </c>
      <c r="Q6" s="36">
        <f ca="1">IF(DAY(helmisu1)=1,IF(AND(YEAR(helmisu1+7)=Kalenterivuosi,MONTH(helmisu1+7)=2),helmisu1+7,""),IF(AND(YEAR(helmisu1+14)=Kalenterivuosi,MONTH(helmisu1+14)=2),helmisu1+14,""))</f>
        <v>43506</v>
      </c>
      <c r="R6" s="2"/>
      <c r="S6" s="5"/>
      <c r="U6" s="13" t="s">
        <v>21</v>
      </c>
      <c r="Z6" s="2"/>
      <c r="AH6" s="2"/>
      <c r="AP6" s="2"/>
    </row>
    <row r="7" spans="1:42" ht="15" customHeight="1" x14ac:dyDescent="0.2">
      <c r="B7" s="2"/>
      <c r="C7" s="36">
        <f ca="1">IF(DAY(tammisu1)=1,IF(AND(YEAR(tammisu1+8)=Kalenterivuosi,MONTH(tammisu1+8)=1),tammisu1+8,""),IF(AND(YEAR(tammisu1+15)=Kalenterivuosi,MONTH(tammisu1+15)=1),tammisu1+15,""))</f>
        <v>43479</v>
      </c>
      <c r="D7" s="36">
        <f ca="1">IF(DAY(tammisu1)=1,IF(AND(YEAR(tammisu1+9)=Kalenterivuosi,MONTH(tammisu1+9)=1),tammisu1+9,""),IF(AND(YEAR(tammisu1+16)=Kalenterivuosi,MONTH(tammisu1+16)=1),tammisu1+16,""))</f>
        <v>43480</v>
      </c>
      <c r="E7" s="36">
        <f ca="1">IF(DAY(tammisu1)=1,IF(AND(YEAR(tammisu1+10)=Kalenterivuosi,MONTH(tammisu1+10)=1),tammisu1+10,""),IF(AND(YEAR(tammisu1+17)=Kalenterivuosi,MONTH(tammisu1+17)=1),tammisu1+17,""))</f>
        <v>43481</v>
      </c>
      <c r="F7" s="36">
        <f ca="1">IF(DAY(tammisu1)=1,IF(AND(YEAR(tammisu1+11)=Kalenterivuosi,MONTH(tammisu1+11)=1),tammisu1+11,""),IF(AND(YEAR(tammisu1+18)=Kalenterivuosi,MONTH(tammisu1+18)=1),tammisu1+18,""))</f>
        <v>43482</v>
      </c>
      <c r="G7" s="36">
        <f ca="1">IF(DAY(tammisu1)=1,IF(AND(YEAR(tammisu1+12)=Kalenterivuosi,MONTH(tammisu1+12)=1),tammisu1+12,""),IF(AND(YEAR(tammisu1+19)=Kalenterivuosi,MONTH(tammisu1+19)=1),tammisu1+19,""))</f>
        <v>43483</v>
      </c>
      <c r="H7" s="36">
        <f ca="1">IF(DAY(tammisu1)=1,IF(AND(YEAR(tammisu1+13)=Kalenterivuosi,MONTH(tammisu1+13)=1),tammisu1+13,""),IF(AND(YEAR(tammisu1+20)=Kalenterivuosi,MONTH(tammisu1+20)=1),tammisu1+20,""))</f>
        <v>43484</v>
      </c>
      <c r="I7" s="36">
        <f ca="1">IF(DAY(tammisu1)=1,IF(AND(YEAR(tammisu1+14)=Kalenterivuosi,MONTH(tammisu1+14)=1),tammisu1+14,""),IF(AND(YEAR(tammisu1+21)=Kalenterivuosi,MONTH(tammisu1+21)=1),tammisu1+21,""))</f>
        <v>43485</v>
      </c>
      <c r="J7" s="20"/>
      <c r="K7" s="36">
        <f ca="1">IF(DAY(helmisu1)=1,IF(AND(YEAR(helmisu1+8)=Kalenterivuosi,MONTH(helmisu1+8)=2),helmisu1+8,""),IF(AND(YEAR(helmisu1+15)=Kalenterivuosi,MONTH(helmisu1+15)=2),helmisu1+15,""))</f>
        <v>43507</v>
      </c>
      <c r="L7" s="36">
        <f ca="1">IF(DAY(helmisu1)=1,IF(AND(YEAR(helmisu1+9)=Kalenterivuosi,MONTH(helmisu1+9)=2),helmisu1+9,""),IF(AND(YEAR(helmisu1+16)=Kalenterivuosi,MONTH(helmisu1+16)=2),helmisu1+16,""))</f>
        <v>43508</v>
      </c>
      <c r="M7" s="36">
        <f ca="1">IF(DAY(helmisu1)=1,IF(AND(YEAR(helmisu1+10)=Kalenterivuosi,MONTH(helmisu1+10)=2),helmisu1+10,""),IF(AND(YEAR(helmisu1+17)=Kalenterivuosi,MONTH(helmisu1+17)=2),helmisu1+17,""))</f>
        <v>43509</v>
      </c>
      <c r="N7" s="36">
        <f ca="1">IF(DAY(helmisu1)=1,IF(AND(YEAR(helmisu1+11)=Kalenterivuosi,MONTH(helmisu1+11)=2),helmisu1+11,""),IF(AND(YEAR(helmisu1+18)=Kalenterivuosi,MONTH(helmisu1+18)=2),helmisu1+18,""))</f>
        <v>43510</v>
      </c>
      <c r="O7" s="36">
        <f ca="1">IF(DAY(helmisu1)=1,IF(AND(YEAR(helmisu1+12)=Kalenterivuosi,MONTH(helmisu1+12)=2),helmisu1+12,""),IF(AND(YEAR(helmisu1+19)=Kalenterivuosi,MONTH(helmisu1+19)=2),helmisu1+19,""))</f>
        <v>43511</v>
      </c>
      <c r="P7" s="36">
        <f ca="1">IF(DAY(helmisu1)=1,IF(AND(YEAR(helmisu1+13)=Kalenterivuosi,MONTH(helmisu1+13)=2),helmisu1+13,""),IF(AND(YEAR(helmisu1+20)=Kalenterivuosi,MONTH(helmisu1+20)=2),helmisu1+20,""))</f>
        <v>43512</v>
      </c>
      <c r="Q7" s="36">
        <f ca="1">IF(DAY(helmisu1)=1,IF(AND(YEAR(helmisu1+14)=Kalenterivuosi,MONTH(helmisu1+14)=2),helmisu1+14,""),IF(AND(YEAR(helmisu1+21)=Kalenterivuosi,MONTH(helmisu1+21)=2),helmisu1+21,""))</f>
        <v>43513</v>
      </c>
      <c r="R7" s="2"/>
      <c r="S7" s="5"/>
      <c r="U7" s="18" t="s">
        <v>22</v>
      </c>
      <c r="Z7" s="2"/>
      <c r="AH7" s="2"/>
      <c r="AP7" s="2"/>
    </row>
    <row r="8" spans="1:42" ht="15" customHeight="1" x14ac:dyDescent="0.2">
      <c r="B8" s="2"/>
      <c r="C8" s="36">
        <f ca="1">IF(DAY(tammisu1)=1,IF(AND(YEAR(tammisu1+15)=Kalenterivuosi,MONTH(tammisu1+15)=1),tammisu1+15,""),IF(AND(YEAR(tammisu1+22)=Kalenterivuosi,MONTH(tammisu1+22)=1),tammisu1+22,""))</f>
        <v>43486</v>
      </c>
      <c r="D8" s="36">
        <f ca="1">IF(DAY(tammisu1)=1,IF(AND(YEAR(tammisu1+16)=Kalenterivuosi,MONTH(tammisu1+16)=1),tammisu1+16,""),IF(AND(YEAR(tammisu1+23)=Kalenterivuosi,MONTH(tammisu1+23)=1),tammisu1+23,""))</f>
        <v>43487</v>
      </c>
      <c r="E8" s="36">
        <f ca="1">IF(DAY(tammisu1)=1,IF(AND(YEAR(tammisu1+17)=Kalenterivuosi,MONTH(tammisu1+17)=1),tammisu1+17,""),IF(AND(YEAR(tammisu1+24)=Kalenterivuosi,MONTH(tammisu1+24)=1),tammisu1+24,""))</f>
        <v>43488</v>
      </c>
      <c r="F8" s="36">
        <f ca="1">IF(DAY(tammisu1)=1,IF(AND(YEAR(tammisu1+18)=Kalenterivuosi,MONTH(tammisu1+18)=1),tammisu1+18,""),IF(AND(YEAR(tammisu1+25)=Kalenterivuosi,MONTH(tammisu1+25)=1),tammisu1+25,""))</f>
        <v>43489</v>
      </c>
      <c r="G8" s="36">
        <f ca="1">IF(DAY(tammisu1)=1,IF(AND(YEAR(tammisu1+19)=Kalenterivuosi,MONTH(tammisu1+19)=1),tammisu1+19,""),IF(AND(YEAR(tammisu1+26)=Kalenterivuosi,MONTH(tammisu1+26)=1),tammisu1+26,""))</f>
        <v>43490</v>
      </c>
      <c r="H8" s="36">
        <f ca="1">IF(DAY(tammisu1)=1,IF(AND(YEAR(tammisu1+20)=Kalenterivuosi,MONTH(tammisu1+20)=1),tammisu1+20,""),IF(AND(YEAR(tammisu1+27)=Kalenterivuosi,MONTH(tammisu1+27)=1),tammisu1+27,""))</f>
        <v>43491</v>
      </c>
      <c r="I8" s="36">
        <f ca="1">IF(DAY(tammisu1)=1,IF(AND(YEAR(tammisu1+21)=Kalenterivuosi,MONTH(tammisu1+21)=1),tammisu1+21,""),IF(AND(YEAR(tammisu1+28)=Kalenterivuosi,MONTH(tammisu1+28)=1),tammisu1+28,""))</f>
        <v>43492</v>
      </c>
      <c r="J8" s="20"/>
      <c r="K8" s="36">
        <f ca="1">IF(DAY(helmisu1)=1,IF(AND(YEAR(helmisu1+15)=Kalenterivuosi,MONTH(helmisu1+15)=2),helmisu1+15,""),IF(AND(YEAR(helmisu1+22)=Kalenterivuosi,MONTH(helmisu1+22)=2),helmisu1+22,""))</f>
        <v>43514</v>
      </c>
      <c r="L8" s="36">
        <f ca="1">IF(DAY(helmisu1)=1,IF(AND(YEAR(helmisu1+16)=Kalenterivuosi,MONTH(helmisu1+16)=2),helmisu1+16,""),IF(AND(YEAR(helmisu1+23)=Kalenterivuosi,MONTH(helmisu1+23)=2),helmisu1+23,""))</f>
        <v>43515</v>
      </c>
      <c r="M8" s="36">
        <f ca="1">IF(DAY(helmisu1)=1,IF(AND(YEAR(helmisu1+17)=Kalenterivuosi,MONTH(helmisu1+17)=2),helmisu1+17,""),IF(AND(YEAR(helmisu1+24)=Kalenterivuosi,MONTH(helmisu1+24)=2),helmisu1+24,""))</f>
        <v>43516</v>
      </c>
      <c r="N8" s="36">
        <f ca="1">IF(DAY(helmisu1)=1,IF(AND(YEAR(helmisu1+18)=Kalenterivuosi,MONTH(helmisu1+18)=2),helmisu1+18,""),IF(AND(YEAR(helmisu1+25)=Kalenterivuosi,MONTH(helmisu1+25)=2),helmisu1+25,""))</f>
        <v>43517</v>
      </c>
      <c r="O8" s="36">
        <f ca="1">IF(DAY(helmisu1)=1,IF(AND(YEAR(helmisu1+19)=Kalenterivuosi,MONTH(helmisu1+19)=2),helmisu1+19,""),IF(AND(YEAR(helmisu1+26)=Kalenterivuosi,MONTH(helmisu1+26)=2),helmisu1+26,""))</f>
        <v>43518</v>
      </c>
      <c r="P8" s="36">
        <f ca="1">IF(DAY(helmisu1)=1,IF(AND(YEAR(helmisu1+20)=Kalenterivuosi,MONTH(helmisu1+20)=2),helmisu1+20,""),IF(AND(YEAR(helmisu1+27)=Kalenterivuosi,MONTH(helmisu1+27)=2),helmisu1+27,""))</f>
        <v>43519</v>
      </c>
      <c r="Q8" s="36">
        <f ca="1">IF(DAY(helmisu1)=1,IF(AND(YEAR(helmisu1+21)=Kalenterivuosi,MONTH(helmisu1+21)=2),helmisu1+21,""),IF(AND(YEAR(helmisu1+28)=Kalenterivuosi,MONTH(helmisu1+28)=2),helmisu1+28,""))</f>
        <v>43520</v>
      </c>
      <c r="R8" s="2"/>
      <c r="S8" s="5"/>
      <c r="U8" s="11"/>
      <c r="Z8" s="2"/>
      <c r="AH8" s="2"/>
      <c r="AP8" s="2"/>
    </row>
    <row r="9" spans="1:42" ht="15" customHeight="1" x14ac:dyDescent="0.2">
      <c r="B9" s="2"/>
      <c r="C9" s="36">
        <f ca="1">IF(DAY(tammisu1)=1,IF(AND(YEAR(tammisu1+22)=Kalenterivuosi,MONTH(tammisu1+22)=1),tammisu1+22,""),IF(AND(YEAR(tammisu1+29)=Kalenterivuosi,MONTH(tammisu1+29)=1),tammisu1+29,""))</f>
        <v>43493</v>
      </c>
      <c r="D9" s="36">
        <f ca="1">IF(DAY(tammisu1)=1,IF(AND(YEAR(tammisu1+23)=Kalenterivuosi,MONTH(tammisu1+23)=1),tammisu1+23,""),IF(AND(YEAR(tammisu1+30)=Kalenterivuosi,MONTH(tammisu1+30)=1),tammisu1+30,""))</f>
        <v>43494</v>
      </c>
      <c r="E9" s="36">
        <f ca="1">IF(DAY(tammisu1)=1,IF(AND(YEAR(tammisu1+24)=Kalenterivuosi,MONTH(tammisu1+24)=1),tammisu1+24,""),IF(AND(YEAR(tammisu1+31)=Kalenterivuosi,MONTH(tammisu1+31)=1),tammisu1+31,""))</f>
        <v>43495</v>
      </c>
      <c r="F9" s="36">
        <f ca="1">IF(DAY(tammisu1)=1,IF(AND(YEAR(tammisu1+25)=Kalenterivuosi,MONTH(tammisu1+25)=1),tammisu1+25,""),IF(AND(YEAR(tammisu1+32)=Kalenterivuosi,MONTH(tammisu1+32)=1),tammisu1+32,""))</f>
        <v>43496</v>
      </c>
      <c r="G9" s="36" t="str">
        <f ca="1">IF(DAY(tammisu1)=1,IF(AND(YEAR(tammisu1+26)=Kalenterivuosi,MONTH(tammisu1+26)=1),tammisu1+26,""),IF(AND(YEAR(tammisu1+33)=Kalenterivuosi,MONTH(tammisu1+33)=1),tammisu1+33,""))</f>
        <v/>
      </c>
      <c r="H9" s="36" t="str">
        <f ca="1">IF(DAY(tammisu1)=1,IF(AND(YEAR(tammisu1+27)=Kalenterivuosi,MONTH(tammisu1+27)=1),tammisu1+27,""),IF(AND(YEAR(tammisu1+34)=Kalenterivuosi,MONTH(tammisu1+34)=1),tammisu1+34,""))</f>
        <v/>
      </c>
      <c r="I9" s="36" t="str">
        <f ca="1">IF(DAY(tammisu1)=1,IF(AND(YEAR(tammisu1+28)=Kalenterivuosi,MONTH(tammisu1+28)=1),tammisu1+28,""),IF(AND(YEAR(tammisu1+35)=Kalenterivuosi,MONTH(tammisu1+35)=1),tammisu1+35,""))</f>
        <v/>
      </c>
      <c r="J9" s="20"/>
      <c r="K9" s="36">
        <f ca="1">IF(DAY(helmisu1)=1,IF(AND(YEAR(helmisu1+22)=Kalenterivuosi,MONTH(helmisu1+22)=2),helmisu1+22,""),IF(AND(YEAR(helmisu1+29)=Kalenterivuosi,MONTH(helmisu1+29)=2),helmisu1+29,""))</f>
        <v>43521</v>
      </c>
      <c r="L9" s="36">
        <f ca="1">IF(DAY(helmisu1)=1,IF(AND(YEAR(helmisu1+23)=Kalenterivuosi,MONTH(helmisu1+23)=2),helmisu1+23,""),IF(AND(YEAR(helmisu1+30)=Kalenterivuosi,MONTH(helmisu1+30)=2),helmisu1+30,""))</f>
        <v>43522</v>
      </c>
      <c r="M9" s="36">
        <f ca="1">IF(DAY(helmisu1)=1,IF(AND(YEAR(helmisu1+24)=Kalenterivuosi,MONTH(helmisu1+24)=2),helmisu1+24,""),IF(AND(YEAR(helmisu1+31)=Kalenterivuosi,MONTH(helmisu1+31)=2),helmisu1+31,""))</f>
        <v>43523</v>
      </c>
      <c r="N9" s="36">
        <f ca="1">IF(DAY(helmisu1)=1,IF(AND(YEAR(helmisu1+25)=Kalenterivuosi,MONTH(helmisu1+25)=2),helmisu1+25,""),IF(AND(YEAR(helmisu1+32)=Kalenterivuosi,MONTH(helmisu1+32)=2),helmisu1+32,""))</f>
        <v>43524</v>
      </c>
      <c r="O9" s="36" t="str">
        <f ca="1">IF(DAY(helmisu1)=1,IF(AND(YEAR(helmisu1+26)=Kalenterivuosi,MONTH(helmisu1+26)=2),helmisu1+26,""),IF(AND(YEAR(helmisu1+33)=Kalenterivuosi,MONTH(helmisu1+33)=2),helmisu1+33,""))</f>
        <v/>
      </c>
      <c r="P9" s="36" t="str">
        <f ca="1">IF(DAY(helmisu1)=1,IF(AND(YEAR(helmisu1+27)=Kalenterivuosi,MONTH(helmisu1+27)=2),helmisu1+27,""),IF(AND(YEAR(helmisu1+34)=Kalenterivuosi,MONTH(helmisu1+34)=2),helmisu1+34,""))</f>
        <v/>
      </c>
      <c r="Q9" s="36" t="str">
        <f ca="1">IF(DAY(helmisu1)=1,IF(AND(YEAR(helmisu1+28)=Kalenterivuosi,MONTH(helmisu1+28)=2),helmisu1+28,""),IF(AND(YEAR(helmisu1+35)=Kalenterivuosi,MONTH(helmisu1+35)=2),helmisu1+35,""))</f>
        <v/>
      </c>
      <c r="R9" s="2"/>
      <c r="S9" s="5"/>
      <c r="U9" s="12" t="s">
        <v>23</v>
      </c>
      <c r="Z9" s="2"/>
      <c r="AH9" s="2"/>
      <c r="AP9" s="2"/>
    </row>
    <row r="10" spans="1:42" ht="15" customHeight="1" x14ac:dyDescent="0.2">
      <c r="B10" s="2"/>
      <c r="C10" s="36" t="str">
        <f ca="1">IF(DAY(tammisu1)=1,IF(AND(YEAR(tammisu1+29)=Kalenterivuosi,MONTH(tammisu1+29)=1),tammisu1+29,""),IF(AND(YEAR(tammisu1+36)=Kalenterivuosi,MONTH(tammisu1+36)=1),tammisu1+36,""))</f>
        <v/>
      </c>
      <c r="D10" s="36" t="str">
        <f ca="1">IF(DAY(tammisu1)=1,IF(AND(YEAR(tammisu1+30)=Kalenterivuosi,MONTH(tammisu1+30)=1),tammisu1+30,""),IF(AND(YEAR(tammisu1+37)=Kalenterivuosi,MONTH(tammisu1+37)=1),tammisu1+37,""))</f>
        <v/>
      </c>
      <c r="E10" s="36" t="str">
        <f ca="1">IF(DAY(tammisu1)=1,IF(AND(YEAR(tammisu1+31)=Kalenterivuosi,MONTH(tammisu1+31)=1),tammisu1+31,""),IF(AND(YEAR(tammisu1+38)=Kalenterivuosi,MONTH(tammisu1+38)=1),tammisu1+38,""))</f>
        <v/>
      </c>
      <c r="F10" s="36" t="str">
        <f ca="1">IF(DAY(tammisu1)=1,IF(AND(YEAR(tammisu1+32)=Kalenterivuosi,MONTH(tammisu1+32)=1),tammisu1+32,""),IF(AND(YEAR(tammisu1+39)=Kalenterivuosi,MONTH(tammisu1+39)=1),tammisu1+39,""))</f>
        <v/>
      </c>
      <c r="G10" s="36" t="str">
        <f ca="1">IF(DAY(tammisu1)=1,IF(AND(YEAR(tammisu1+33)=Kalenterivuosi,MONTH(tammisu1+33)=1),tammisu1+33,""),IF(AND(YEAR(tammisu1+40)=Kalenterivuosi,MONTH(tammisu1+40)=1),tammisu1+40,""))</f>
        <v/>
      </c>
      <c r="H10" s="36" t="str">
        <f ca="1">IF(DAY(tammisu1)=1,IF(AND(YEAR(tammisu1+34)=Kalenterivuosi,MONTH(tammisu1+34)=1),tammisu1+34,""),IF(AND(YEAR(tammisu1+41)=Kalenterivuosi,MONTH(tammisu1+41)=1),tammisu1+41,""))</f>
        <v/>
      </c>
      <c r="I10" s="36" t="str">
        <f ca="1">IF(DAY(tammisu1)=1,IF(AND(YEAR(tammisu1+35)=Kalenterivuosi,MONTH(tammisu1+35)=1),tammisu1+35,""),IF(AND(YEAR(tammisu1+42)=Kalenterivuosi,MONTH(tammisu1+42)=1),tammisu1+42,""))</f>
        <v/>
      </c>
      <c r="J10" s="20"/>
      <c r="K10" s="36" t="str">
        <f ca="1">IF(DAY(helmisu1)=1,IF(AND(YEAR(helmisu1+29)=Kalenterivuosi,MONTH(helmisu1+29)=2),helmisu1+29,""),IF(AND(YEAR(helmisu1+36)=Kalenterivuosi,MONTH(helmisu1+36)=2),helmisu1+36,""))</f>
        <v/>
      </c>
      <c r="L10" s="36" t="str">
        <f ca="1">IF(DAY(helmisu1)=1,IF(AND(YEAR(helmisu1+30)=Kalenterivuosi,MONTH(helmisu1+30)=2),helmisu1+30,""),IF(AND(YEAR(helmisu1+37)=Kalenterivuosi,MONTH(helmisu1+37)=2),helmisu1+37,""))</f>
        <v/>
      </c>
      <c r="M10" s="36" t="str">
        <f ca="1">IF(DAY(helmisu1)=1,IF(AND(YEAR(helmisu1+31)=Kalenterivuosi,MONTH(helmisu1+31)=2),helmisu1+31,""),IF(AND(YEAR(helmisu1+38)=Kalenterivuosi,MONTH(helmisu1+38)=2),helmisu1+38,""))</f>
        <v/>
      </c>
      <c r="N10" s="36" t="str">
        <f ca="1">IF(DAY(helmisu1)=1,IF(AND(YEAR(helmisu1+32)=Kalenterivuosi,MONTH(helmisu1+32)=2),helmisu1+32,""),IF(AND(YEAR(helmisu1+39)=Kalenterivuosi,MONTH(helmisu1+39)=2),helmisu1+39,""))</f>
        <v/>
      </c>
      <c r="O10" s="36" t="str">
        <f ca="1">IF(DAY(helmisu1)=1,IF(AND(YEAR(helmisu1+33)=Kalenterivuosi,MONTH(helmisu1+33)=2),helmisu1+33,""),IF(AND(YEAR(helmisu1+40)=Kalenterivuosi,MONTH(helmisu1+40)=2),helmisu1+40,""))</f>
        <v/>
      </c>
      <c r="P10" s="36" t="str">
        <f ca="1">IF(DAY(helmisu1)=1,IF(AND(YEAR(helmisu1+34)=Kalenterivuosi,MONTH(helmisu1+34)=2),helmisu1+34,""),IF(AND(YEAR(helmisu1+41)=Kalenterivuosi,MONTH(helmisu1+41)=2),helmisu1+41,""))</f>
        <v/>
      </c>
      <c r="Q10" s="36" t="str">
        <f ca="1">IF(DAY(helmisu1)=1,IF(AND(YEAR(helmisu1+35)=Kalenterivuosi,MONTH(helmisu1+35)=2),helmisu1+35,""),IF(AND(YEAR(helmisu1+42)=Kalenterivuosi,MONTH(helmisu1+42)=2),helmisu1+42,""))</f>
        <v/>
      </c>
      <c r="R10" s="2"/>
      <c r="S10" s="5"/>
      <c r="U10" s="18" t="s">
        <v>24</v>
      </c>
      <c r="Z10" s="2"/>
      <c r="AH10" s="2"/>
      <c r="AP10" s="2"/>
    </row>
    <row r="11" spans="1:42" ht="15" customHeight="1" x14ac:dyDescent="0.2">
      <c r="B11" s="2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5"/>
      <c r="U11" s="11"/>
      <c r="Z11" s="2"/>
      <c r="AH11" s="2"/>
      <c r="AP11" s="2"/>
    </row>
    <row r="12" spans="1:42" s="22" customFormat="1" ht="15" customHeight="1" x14ac:dyDescent="0.25">
      <c r="A12" s="1"/>
      <c r="B12" s="2"/>
      <c r="C12" s="4" t="s">
        <v>2</v>
      </c>
      <c r="D12" s="3"/>
      <c r="E12" s="3"/>
      <c r="F12" s="3"/>
      <c r="G12" s="3"/>
      <c r="H12" s="3"/>
      <c r="I12" s="3"/>
      <c r="J12" s="21"/>
      <c r="K12" s="4" t="s">
        <v>13</v>
      </c>
      <c r="L12" s="3"/>
      <c r="M12" s="3"/>
      <c r="N12" s="3"/>
      <c r="O12" s="3"/>
      <c r="P12" s="3"/>
      <c r="Q12" s="3"/>
      <c r="R12" s="2"/>
      <c r="S12" s="38"/>
      <c r="T12"/>
      <c r="U12" s="12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5" customHeight="1" x14ac:dyDescent="0.25">
      <c r="B13" s="2"/>
      <c r="C13" s="26" t="s">
        <v>1</v>
      </c>
      <c r="D13" s="26" t="s">
        <v>7</v>
      </c>
      <c r="E13" s="26" t="s">
        <v>8</v>
      </c>
      <c r="F13" s="26" t="s">
        <v>7</v>
      </c>
      <c r="G13" s="26" t="s">
        <v>9</v>
      </c>
      <c r="H13" s="26" t="s">
        <v>11</v>
      </c>
      <c r="I13" s="26" t="s">
        <v>11</v>
      </c>
      <c r="J13" s="19"/>
      <c r="K13" s="27" t="s">
        <v>1</v>
      </c>
      <c r="L13" s="27" t="s">
        <v>7</v>
      </c>
      <c r="M13" s="27" t="s">
        <v>8</v>
      </c>
      <c r="N13" s="27" t="s">
        <v>7</v>
      </c>
      <c r="O13" s="27" t="s">
        <v>9</v>
      </c>
      <c r="P13" s="27" t="s">
        <v>11</v>
      </c>
      <c r="Q13" s="27" t="s">
        <v>11</v>
      </c>
      <c r="R13" s="2"/>
      <c r="S13" s="5"/>
      <c r="U13" s="18"/>
      <c r="Z13" s="2"/>
      <c r="AH13" s="2"/>
      <c r="AP13" s="2"/>
    </row>
    <row r="14" spans="1:42" ht="15" customHeight="1" x14ac:dyDescent="0.2">
      <c r="B14" s="2"/>
      <c r="C14" s="36" t="str">
        <f ca="1">IF(DAY(maalissu1)=1,"",IF(AND(YEAR(maalissu1+1)=Kalenterivuosi,MONTH(maalissu1+1)=3),maalissu1+1,""))</f>
        <v/>
      </c>
      <c r="D14" s="36" t="str">
        <f ca="1">IF(DAY(maalissu1)=1,"",IF(AND(YEAR(maalissu1+2)=Kalenterivuosi,MONTH(maalissu1+2)=3),maalissu1+2,""))</f>
        <v/>
      </c>
      <c r="E14" s="36" t="str">
        <f ca="1">IF(DAY(maalissu1)=1,"",IF(AND(YEAR(maalissu1+3)=Kalenterivuosi,MONTH(maalissu1+3)=3),maalissu1+3,""))</f>
        <v/>
      </c>
      <c r="F14" s="36" t="str">
        <f ca="1">IF(DAY(maalissu1)=1,"",IF(AND(YEAR(maalissu1+4)=Kalenterivuosi,MONTH(maalissu1+4)=3),maalissu1+4,""))</f>
        <v/>
      </c>
      <c r="G14" s="36">
        <f ca="1">IF(DAY(maalissu1)=1,"",IF(AND(YEAR(maalissu1+5)=Kalenterivuosi,MONTH(maalissu1+5)=3),maalissu1+5,""))</f>
        <v>43525</v>
      </c>
      <c r="H14" s="36">
        <f ca="1">IF(DAY(maalissu1)=1,"",IF(AND(YEAR(maalissu1+6)=Kalenterivuosi,MONTH(maalissu1+6)=3),maalissu1+6,""))</f>
        <v>43526</v>
      </c>
      <c r="I14" s="36">
        <f ca="1">IF(DAY(maalissu1)=1,IF(AND(YEAR(maalissu1)=Kalenterivuosi,MONTH(maalissu1)=3),maalissu1,""),IF(AND(YEAR(maalissu1+7)=Kalenterivuosi,MONTH(maalissu1+7)=3),maalissu1+7,""))</f>
        <v>43527</v>
      </c>
      <c r="J14" s="20"/>
      <c r="K14" s="36">
        <f ca="1">IF(DAY(huhtisu1)=1,"",IF(AND(YEAR(huhtisu1+1)=Kalenterivuosi,MONTH(huhtisu1+1)=4),huhtisu1+1,""))</f>
        <v>43556</v>
      </c>
      <c r="L14" s="36">
        <f ca="1">IF(DAY(huhtisu1)=1,"",IF(AND(YEAR(huhtisu1+2)=Kalenterivuosi,MONTH(huhtisu1+2)=4),huhtisu1+2,""))</f>
        <v>43557</v>
      </c>
      <c r="M14" s="36">
        <f ca="1">IF(DAY(huhtisu1)=1,"",IF(AND(YEAR(huhtisu1+3)=Kalenterivuosi,MONTH(huhtisu1+3)=4),huhtisu1+3,""))</f>
        <v>43558</v>
      </c>
      <c r="N14" s="36">
        <f ca="1">IF(DAY(huhtisu1)=1,"",IF(AND(YEAR(huhtisu1+4)=Kalenterivuosi,MONTH(huhtisu1+4)=4),huhtisu1+4,""))</f>
        <v>43559</v>
      </c>
      <c r="O14" s="36">
        <f ca="1">IF(DAY(huhtisu1)=1,"",IF(AND(YEAR(huhtisu1+5)=Kalenterivuosi,MONTH(huhtisu1+5)=4),huhtisu1+5,""))</f>
        <v>43560</v>
      </c>
      <c r="P14" s="36">
        <f ca="1">IF(DAY(huhtisu1)=1,"",IF(AND(YEAR(huhtisu1+6)=Kalenterivuosi,MONTH(huhtisu1+6)=4),huhtisu1+6,""))</f>
        <v>43561</v>
      </c>
      <c r="Q14" s="36">
        <f ca="1">IF(DAY(huhtisu1)=1,IF(AND(YEAR(huhtisu1)=Kalenterivuosi,MONTH(huhtisu1)=4),huhtisu1,""),IF(AND(YEAR(huhtisu1+7)=Kalenterivuosi,MONTH(huhtisu1+7)=4),huhtisu1+7,""))</f>
        <v>43562</v>
      </c>
      <c r="R14" s="2"/>
      <c r="S14" s="5"/>
      <c r="U14" s="11"/>
      <c r="Z14" s="2"/>
      <c r="AH14" s="2"/>
      <c r="AP14" s="2"/>
    </row>
    <row r="15" spans="1:42" ht="15" customHeight="1" x14ac:dyDescent="0.2">
      <c r="B15" s="2"/>
      <c r="C15" s="36">
        <f ca="1">IF(DAY(maalissu1)=1,IF(AND(YEAR(maalissu1+1)=Kalenterivuosi,MONTH(maalissu1+1)=3),maalissu1+1,""),IF(AND(YEAR(maalissu1+8)=Kalenterivuosi,MONTH(maalissu1+8)=3),maalissu1+8,""))</f>
        <v>43528</v>
      </c>
      <c r="D15" s="36">
        <f ca="1">IF(DAY(maalissu1)=1,IF(AND(YEAR(maalissu1+2)=Kalenterivuosi,MONTH(maalissu1+2)=3),maalissu1+2,""),IF(AND(YEAR(maalissu1+9)=Kalenterivuosi,MONTH(maalissu1+9)=3),maalissu1+9,""))</f>
        <v>43529</v>
      </c>
      <c r="E15" s="36">
        <f ca="1">IF(DAY(maalissu1)=1,IF(AND(YEAR(maalissu1+3)=Kalenterivuosi,MONTH(maalissu1+3)=3),maalissu1+3,""),IF(AND(YEAR(maalissu1+10)=Kalenterivuosi,MONTH(maalissu1+10)=3),maalissu1+10,""))</f>
        <v>43530</v>
      </c>
      <c r="F15" s="36">
        <f ca="1">IF(DAY(maalissu1)=1,IF(AND(YEAR(maalissu1+4)=Kalenterivuosi,MONTH(maalissu1+4)=3),maalissu1+4,""),IF(AND(YEAR(maalissu1+11)=Kalenterivuosi,MONTH(maalissu1+11)=3),maalissu1+11,""))</f>
        <v>43531</v>
      </c>
      <c r="G15" s="36">
        <f ca="1">IF(DAY(maalissu1)=1,IF(AND(YEAR(maalissu1+5)=Kalenterivuosi,MONTH(maalissu1+5)=3),maalissu1+5,""),IF(AND(YEAR(maalissu1+12)=Kalenterivuosi,MONTH(maalissu1+12)=3),maalissu1+12,""))</f>
        <v>43532</v>
      </c>
      <c r="H15" s="36">
        <f ca="1">IF(DAY(maalissu1)=1,IF(AND(YEAR(maalissu1+6)=Kalenterivuosi,MONTH(maalissu1+6)=3),maalissu1+6,""),IF(AND(YEAR(maalissu1+13)=Kalenterivuosi,MONTH(maalissu1+13)=3),maalissu1+13,""))</f>
        <v>43533</v>
      </c>
      <c r="I15" s="36">
        <f ca="1">IF(DAY(maalissu1)=1,IF(AND(YEAR(maalissu1+7)=Kalenterivuosi,MONTH(maalissu1+7)=3),maalissu1+7,""),IF(AND(YEAR(maalissu1+14)=Kalenterivuosi,MONTH(maalissu1+14)=3),maalissu1+14,""))</f>
        <v>43534</v>
      </c>
      <c r="J15" s="20"/>
      <c r="K15" s="36">
        <f ca="1">IF(DAY(huhtisu1)=1,IF(AND(YEAR(huhtisu1+1)=Kalenterivuosi,MONTH(huhtisu1+1)=4),huhtisu1+1,""),IF(AND(YEAR(huhtisu1+8)=Kalenterivuosi,MONTH(huhtisu1+8)=4),huhtisu1+8,""))</f>
        <v>43563</v>
      </c>
      <c r="L15" s="36">
        <f ca="1">IF(DAY(huhtisu1)=1,IF(AND(YEAR(huhtisu1+2)=Kalenterivuosi,MONTH(huhtisu1+2)=4),huhtisu1+2,""),IF(AND(YEAR(huhtisu1+9)=Kalenterivuosi,MONTH(huhtisu1+9)=4),huhtisu1+9,""))</f>
        <v>43564</v>
      </c>
      <c r="M15" s="36">
        <f ca="1">IF(DAY(huhtisu1)=1,IF(AND(YEAR(huhtisu1+3)=Kalenterivuosi,MONTH(huhtisu1+3)=4),huhtisu1+3,""),IF(AND(YEAR(huhtisu1+10)=Kalenterivuosi,MONTH(huhtisu1+10)=4),huhtisu1+10,""))</f>
        <v>43565</v>
      </c>
      <c r="N15" s="36">
        <f ca="1">IF(DAY(huhtisu1)=1,IF(AND(YEAR(huhtisu1+4)=Kalenterivuosi,MONTH(huhtisu1+4)=4),huhtisu1+4,""),IF(AND(YEAR(huhtisu1+11)=Kalenterivuosi,MONTH(huhtisu1+11)=4),huhtisu1+11,""))</f>
        <v>43566</v>
      </c>
      <c r="O15" s="36">
        <f ca="1">IF(DAY(huhtisu1)=1,IF(AND(YEAR(huhtisu1+5)=Kalenterivuosi,MONTH(huhtisu1+5)=4),huhtisu1+5,""),IF(AND(YEAR(huhtisu1+12)=Kalenterivuosi,MONTH(huhtisu1+12)=4),huhtisu1+12,""))</f>
        <v>43567</v>
      </c>
      <c r="P15" s="36">
        <f ca="1">IF(DAY(huhtisu1)=1,IF(AND(YEAR(huhtisu1+6)=Kalenterivuosi,MONTH(huhtisu1+6)=4),huhtisu1+6,""),IF(AND(YEAR(huhtisu1+13)=Kalenterivuosi,MONTH(huhtisu1+13)=4),huhtisu1+13,""))</f>
        <v>43568</v>
      </c>
      <c r="Q15" s="36">
        <f ca="1">IF(DAY(huhtisu1)=1,IF(AND(YEAR(huhtisu1+7)=Kalenterivuosi,MONTH(huhtisu1+7)=4),huhtisu1+7,""),IF(AND(YEAR(huhtisu1+14)=Kalenterivuosi,MONTH(huhtisu1+14)=4),huhtisu1+14,""))</f>
        <v>43569</v>
      </c>
      <c r="R15" s="2"/>
      <c r="S15" s="5"/>
      <c r="U15" s="12"/>
      <c r="Z15" s="2"/>
      <c r="AH15" s="2"/>
      <c r="AP15" s="2"/>
    </row>
    <row r="16" spans="1:42" ht="15" customHeight="1" x14ac:dyDescent="0.2">
      <c r="B16" s="2"/>
      <c r="C16" s="36">
        <f ca="1">IF(DAY(maalissu1)=1,IF(AND(YEAR(maalissu1+8)=Kalenterivuosi,MONTH(maalissu1+8)=3),maalissu1+8,""),IF(AND(YEAR(maalissu1+15)=Kalenterivuosi,MONTH(maalissu1+15)=3),maalissu1+15,""))</f>
        <v>43535</v>
      </c>
      <c r="D16" s="36">
        <f ca="1">IF(DAY(maalissu1)=1,IF(AND(YEAR(maalissu1+9)=Kalenterivuosi,MONTH(maalissu1+9)=3),maalissu1+9,""),IF(AND(YEAR(maalissu1+16)=Kalenterivuosi,MONTH(maalissu1+16)=3),maalissu1+16,""))</f>
        <v>43536</v>
      </c>
      <c r="E16" s="36">
        <f ca="1">IF(DAY(maalissu1)=1,IF(AND(YEAR(maalissu1+10)=Kalenterivuosi,MONTH(maalissu1+10)=3),maalissu1+10,""),IF(AND(YEAR(maalissu1+17)=Kalenterivuosi,MONTH(maalissu1+17)=3),maalissu1+17,""))</f>
        <v>43537</v>
      </c>
      <c r="F16" s="36">
        <f ca="1">IF(DAY(maalissu1)=1,IF(AND(YEAR(maalissu1+11)=Kalenterivuosi,MONTH(maalissu1+11)=3),maalissu1+11,""),IF(AND(YEAR(maalissu1+18)=Kalenterivuosi,MONTH(maalissu1+18)=3),maalissu1+18,""))</f>
        <v>43538</v>
      </c>
      <c r="G16" s="36">
        <f ca="1">IF(DAY(maalissu1)=1,IF(AND(YEAR(maalissu1+12)=Kalenterivuosi,MONTH(maalissu1+12)=3),maalissu1+12,""),IF(AND(YEAR(maalissu1+19)=Kalenterivuosi,MONTH(maalissu1+19)=3),maalissu1+19,""))</f>
        <v>43539</v>
      </c>
      <c r="H16" s="36">
        <f ca="1">IF(DAY(maalissu1)=1,IF(AND(YEAR(maalissu1+13)=Kalenterivuosi,MONTH(maalissu1+13)=3),maalissu1+13,""),IF(AND(YEAR(maalissu1+20)=Kalenterivuosi,MONTH(maalissu1+20)=3),maalissu1+20,""))</f>
        <v>43540</v>
      </c>
      <c r="I16" s="36">
        <f ca="1">IF(DAY(maalissu1)=1,IF(AND(YEAR(maalissu1+14)=Kalenterivuosi,MONTH(maalissu1+14)=3),maalissu1+14,""),IF(AND(YEAR(maalissu1+21)=Kalenterivuosi,MONTH(maalissu1+21)=3),maalissu1+21,""))</f>
        <v>43541</v>
      </c>
      <c r="J16" s="20"/>
      <c r="K16" s="36">
        <f ca="1">IF(DAY(huhtisu1)=1,IF(AND(YEAR(huhtisu1+8)=Kalenterivuosi,MONTH(huhtisu1+8)=4),huhtisu1+8,""),IF(AND(YEAR(huhtisu1+15)=Kalenterivuosi,MONTH(huhtisu1+15)=4),huhtisu1+15,""))</f>
        <v>43570</v>
      </c>
      <c r="L16" s="36">
        <f ca="1">IF(DAY(huhtisu1)=1,IF(AND(YEAR(huhtisu1+9)=Kalenterivuosi,MONTH(huhtisu1+9)=4),huhtisu1+9,""),IF(AND(YEAR(huhtisu1+16)=Kalenterivuosi,MONTH(huhtisu1+16)=4),huhtisu1+16,""))</f>
        <v>43571</v>
      </c>
      <c r="M16" s="36">
        <f ca="1">IF(DAY(huhtisu1)=1,IF(AND(YEAR(huhtisu1+10)=Kalenterivuosi,MONTH(huhtisu1+10)=4),huhtisu1+10,""),IF(AND(YEAR(huhtisu1+17)=Kalenterivuosi,MONTH(huhtisu1+17)=4),huhtisu1+17,""))</f>
        <v>43572</v>
      </c>
      <c r="N16" s="36">
        <f ca="1">IF(DAY(huhtisu1)=1,IF(AND(YEAR(huhtisu1+11)=Kalenterivuosi,MONTH(huhtisu1+11)=4),huhtisu1+11,""),IF(AND(YEAR(huhtisu1+18)=Kalenterivuosi,MONTH(huhtisu1+18)=4),huhtisu1+18,""))</f>
        <v>43573</v>
      </c>
      <c r="O16" s="36">
        <f ca="1">IF(DAY(huhtisu1)=1,IF(AND(YEAR(huhtisu1+12)=Kalenterivuosi,MONTH(huhtisu1+12)=4),huhtisu1+12,""),IF(AND(YEAR(huhtisu1+19)=Kalenterivuosi,MONTH(huhtisu1+19)=4),huhtisu1+19,""))</f>
        <v>43574</v>
      </c>
      <c r="P16" s="36">
        <f ca="1">IF(DAY(huhtisu1)=1,IF(AND(YEAR(huhtisu1+13)=Kalenterivuosi,MONTH(huhtisu1+13)=4),huhtisu1+13,""),IF(AND(YEAR(huhtisu1+20)=Kalenterivuosi,MONTH(huhtisu1+20)=4),huhtisu1+20,""))</f>
        <v>43575</v>
      </c>
      <c r="Q16" s="36">
        <f ca="1">IF(DAY(huhtisu1)=1,IF(AND(YEAR(huhtisu1+14)=Kalenterivuosi,MONTH(huhtisu1+14)=4),huhtisu1+14,""),IF(AND(YEAR(huhtisu1+21)=Kalenterivuosi,MONTH(huhtisu1+21)=4),huhtisu1+21,""))</f>
        <v>43576</v>
      </c>
      <c r="R16" s="2"/>
      <c r="S16" s="5"/>
      <c r="U16" s="18"/>
      <c r="Z16" s="2"/>
      <c r="AH16" s="2"/>
      <c r="AP16" s="2"/>
    </row>
    <row r="17" spans="1:42" ht="15" customHeight="1" x14ac:dyDescent="0.2">
      <c r="B17" s="2"/>
      <c r="C17" s="36">
        <f ca="1">IF(DAY(maalissu1)=1,IF(AND(YEAR(maalissu1+15)=Kalenterivuosi,MONTH(maalissu1+15)=3),maalissu1+15,""),IF(AND(YEAR(maalissu1+22)=Kalenterivuosi,MONTH(maalissu1+22)=3),maalissu1+22,""))</f>
        <v>43542</v>
      </c>
      <c r="D17" s="36">
        <f ca="1">IF(DAY(maalissu1)=1,IF(AND(YEAR(maalissu1+16)=Kalenterivuosi,MONTH(maalissu1+16)=3),maalissu1+16,""),IF(AND(YEAR(maalissu1+23)=Kalenterivuosi,MONTH(maalissu1+23)=3),maalissu1+23,""))</f>
        <v>43543</v>
      </c>
      <c r="E17" s="36">
        <f ca="1">IF(DAY(maalissu1)=1,IF(AND(YEAR(maalissu1+17)=Kalenterivuosi,MONTH(maalissu1+17)=3),maalissu1+17,""),IF(AND(YEAR(maalissu1+24)=Kalenterivuosi,MONTH(maalissu1+24)=3),maalissu1+24,""))</f>
        <v>43544</v>
      </c>
      <c r="F17" s="36">
        <f ca="1">IF(DAY(maalissu1)=1,IF(AND(YEAR(maalissu1+18)=Kalenterivuosi,MONTH(maalissu1+18)=3),maalissu1+18,""),IF(AND(YEAR(maalissu1+25)=Kalenterivuosi,MONTH(maalissu1+25)=3),maalissu1+25,""))</f>
        <v>43545</v>
      </c>
      <c r="G17" s="36">
        <f ca="1">IF(DAY(maalissu1)=1,IF(AND(YEAR(maalissu1+19)=Kalenterivuosi,MONTH(maalissu1+19)=3),maalissu1+19,""),IF(AND(YEAR(maalissu1+26)=Kalenterivuosi,MONTH(maalissu1+26)=3),maalissu1+26,""))</f>
        <v>43546</v>
      </c>
      <c r="H17" s="36">
        <f ca="1">IF(DAY(maalissu1)=1,IF(AND(YEAR(maalissu1+20)=Kalenterivuosi,MONTH(maalissu1+20)=3),maalissu1+20,""),IF(AND(YEAR(maalissu1+27)=Kalenterivuosi,MONTH(maalissu1+27)=3),maalissu1+27,""))</f>
        <v>43547</v>
      </c>
      <c r="I17" s="36">
        <f ca="1">IF(DAY(maalissu1)=1,IF(AND(YEAR(maalissu1+21)=Kalenterivuosi,MONTH(maalissu1+21)=3),maalissu1+21,""),IF(AND(YEAR(maalissu1+28)=Kalenterivuosi,MONTH(maalissu1+28)=3),maalissu1+28,""))</f>
        <v>43548</v>
      </c>
      <c r="J17" s="20"/>
      <c r="K17" s="36">
        <f ca="1">IF(DAY(huhtisu1)=1,IF(AND(YEAR(huhtisu1+15)=Kalenterivuosi,MONTH(huhtisu1+15)=4),huhtisu1+15,""),IF(AND(YEAR(huhtisu1+22)=Kalenterivuosi,MONTH(huhtisu1+22)=4),huhtisu1+22,""))</f>
        <v>43577</v>
      </c>
      <c r="L17" s="36">
        <f ca="1">IF(DAY(huhtisu1)=1,IF(AND(YEAR(huhtisu1+16)=Kalenterivuosi,MONTH(huhtisu1+16)=4),huhtisu1+16,""),IF(AND(YEAR(huhtisu1+23)=Kalenterivuosi,MONTH(huhtisu1+23)=4),huhtisu1+23,""))</f>
        <v>43578</v>
      </c>
      <c r="M17" s="36">
        <f ca="1">IF(DAY(huhtisu1)=1,IF(AND(YEAR(huhtisu1+17)=Kalenterivuosi,MONTH(huhtisu1+17)=4),huhtisu1+17,""),IF(AND(YEAR(huhtisu1+24)=Kalenterivuosi,MONTH(huhtisu1+24)=4),huhtisu1+24,""))</f>
        <v>43579</v>
      </c>
      <c r="N17" s="36">
        <f ca="1">IF(DAY(huhtisu1)=1,IF(AND(YEAR(huhtisu1+18)=Kalenterivuosi,MONTH(huhtisu1+18)=4),huhtisu1+18,""),IF(AND(YEAR(huhtisu1+25)=Kalenterivuosi,MONTH(huhtisu1+25)=4),huhtisu1+25,""))</f>
        <v>43580</v>
      </c>
      <c r="O17" s="36">
        <f ca="1">IF(DAY(huhtisu1)=1,IF(AND(YEAR(huhtisu1+19)=Kalenterivuosi,MONTH(huhtisu1+19)=4),huhtisu1+19,""),IF(AND(YEAR(huhtisu1+26)=Kalenterivuosi,MONTH(huhtisu1+26)=4),huhtisu1+26,""))</f>
        <v>43581</v>
      </c>
      <c r="P17" s="36">
        <f ca="1">IF(DAY(huhtisu1)=1,IF(AND(YEAR(huhtisu1+20)=Kalenterivuosi,MONTH(huhtisu1+20)=4),huhtisu1+20,""),IF(AND(YEAR(huhtisu1+27)=Kalenterivuosi,MONTH(huhtisu1+27)=4),huhtisu1+27,""))</f>
        <v>43582</v>
      </c>
      <c r="Q17" s="36">
        <f ca="1">IF(DAY(huhtisu1)=1,IF(AND(YEAR(huhtisu1+21)=Kalenterivuosi,MONTH(huhtisu1+21)=4),huhtisu1+21,""),IF(AND(YEAR(huhtisu1+28)=Kalenterivuosi,MONTH(huhtisu1+28)=4),huhtisu1+28,""))</f>
        <v>43583</v>
      </c>
      <c r="R17" s="2"/>
      <c r="S17" s="5"/>
      <c r="U17" s="11"/>
      <c r="Z17" s="2"/>
      <c r="AH17" s="2"/>
      <c r="AP17" s="2"/>
    </row>
    <row r="18" spans="1:42" ht="15" customHeight="1" x14ac:dyDescent="0.2">
      <c r="B18" s="2"/>
      <c r="C18" s="36">
        <f ca="1">IF(DAY(maalissu1)=1,IF(AND(YEAR(maalissu1+22)=Kalenterivuosi,MONTH(maalissu1+22)=3),maalissu1+22,""),IF(AND(YEAR(maalissu1+29)=Kalenterivuosi,MONTH(maalissu1+29)=3),maalissu1+29,""))</f>
        <v>43549</v>
      </c>
      <c r="D18" s="36">
        <f ca="1">IF(DAY(maalissu1)=1,IF(AND(YEAR(maalissu1+23)=Kalenterivuosi,MONTH(maalissu1+23)=3),maalissu1+23,""),IF(AND(YEAR(maalissu1+30)=Kalenterivuosi,MONTH(maalissu1+30)=3),maalissu1+30,""))</f>
        <v>43550</v>
      </c>
      <c r="E18" s="36">
        <f ca="1">IF(DAY(maalissu1)=1,IF(AND(YEAR(maalissu1+24)=Kalenterivuosi,MONTH(maalissu1+24)=3),maalissu1+24,""),IF(AND(YEAR(maalissu1+31)=Kalenterivuosi,MONTH(maalissu1+31)=3),maalissu1+31,""))</f>
        <v>43551</v>
      </c>
      <c r="F18" s="36">
        <f ca="1">IF(DAY(maalissu1)=1,IF(AND(YEAR(maalissu1+25)=Kalenterivuosi,MONTH(maalissu1+25)=3),maalissu1+25,""),IF(AND(YEAR(maalissu1+32)=Kalenterivuosi,MONTH(maalissu1+32)=3),maalissu1+32,""))</f>
        <v>43552</v>
      </c>
      <c r="G18" s="36">
        <f ca="1">IF(DAY(maalissu1)=1,IF(AND(YEAR(maalissu1+26)=Kalenterivuosi,MONTH(maalissu1+26)=3),maalissu1+26,""),IF(AND(YEAR(maalissu1+33)=Kalenterivuosi,MONTH(maalissu1+33)=3),maalissu1+33,""))</f>
        <v>43553</v>
      </c>
      <c r="H18" s="36">
        <f ca="1">IF(DAY(maalissu1)=1,IF(AND(YEAR(maalissu1+27)=Kalenterivuosi,MONTH(maalissu1+27)=3),maalissu1+27,""),IF(AND(YEAR(maalissu1+34)=Kalenterivuosi,MONTH(maalissu1+34)=3),maalissu1+34,""))</f>
        <v>43554</v>
      </c>
      <c r="I18" s="36">
        <f ca="1">IF(DAY(maalissu1)=1,IF(AND(YEAR(maalissu1+28)=Kalenterivuosi,MONTH(maalissu1+28)=3),maalissu1+28,""),IF(AND(YEAR(maalissu1+35)=Kalenterivuosi,MONTH(maalissu1+35)=3),maalissu1+35,""))</f>
        <v>43555</v>
      </c>
      <c r="J18" s="20"/>
      <c r="K18" s="36">
        <f ca="1">IF(DAY(huhtisu1)=1,IF(AND(YEAR(huhtisu1+22)=Kalenterivuosi,MONTH(huhtisu1+22)=4),huhtisu1+22,""),IF(AND(YEAR(huhtisu1+29)=Kalenterivuosi,MONTH(huhtisu1+29)=4),huhtisu1+29,""))</f>
        <v>43584</v>
      </c>
      <c r="L18" s="36">
        <f ca="1">IF(DAY(huhtisu1)=1,IF(AND(YEAR(huhtisu1+23)=Kalenterivuosi,MONTH(huhtisu1+23)=4),huhtisu1+23,""),IF(AND(YEAR(huhtisu1+30)=Kalenterivuosi,MONTH(huhtisu1+30)=4),huhtisu1+30,""))</f>
        <v>43585</v>
      </c>
      <c r="M18" s="36" t="str">
        <f ca="1">IF(DAY(huhtisu1)=1,IF(AND(YEAR(huhtisu1+24)=Kalenterivuosi,MONTH(huhtisu1+24)=4),huhtisu1+24,""),IF(AND(YEAR(huhtisu1+31)=Kalenterivuosi,MONTH(huhtisu1+31)=4),huhtisu1+31,""))</f>
        <v/>
      </c>
      <c r="N18" s="36" t="str">
        <f ca="1">IF(DAY(huhtisu1)=1,IF(AND(YEAR(huhtisu1+25)=Kalenterivuosi,MONTH(huhtisu1+25)=4),huhtisu1+25,""),IF(AND(YEAR(huhtisu1+32)=Kalenterivuosi,MONTH(huhtisu1+32)=4),huhtisu1+32,""))</f>
        <v/>
      </c>
      <c r="O18" s="36" t="str">
        <f ca="1">IF(DAY(huhtisu1)=1,IF(AND(YEAR(huhtisu1+26)=Kalenterivuosi,MONTH(huhtisu1+26)=4),huhtisu1+26,""),IF(AND(YEAR(huhtisu1+33)=Kalenterivuosi,MONTH(huhtisu1+33)=4),huhtisu1+33,""))</f>
        <v/>
      </c>
      <c r="P18" s="36" t="str">
        <f ca="1">IF(DAY(huhtisu1)=1,IF(AND(YEAR(huhtisu1+27)=Kalenterivuosi,MONTH(huhtisu1+27)=4),huhtisu1+27,""),IF(AND(YEAR(huhtisu1+34)=Kalenterivuosi,MONTH(huhtisu1+34)=4),huhtisu1+34,""))</f>
        <v/>
      </c>
      <c r="Q18" s="36" t="str">
        <f ca="1">IF(DAY(huhtisu1)=1,IF(AND(YEAR(huhtisu1+28)=Kalenterivuosi,MONTH(huhtisu1+28)=4),huhtisu1+28,""),IF(AND(YEAR(huhtisu1+35)=Kalenterivuosi,MONTH(huhtisu1+35)=4),huhtisu1+35,""))</f>
        <v/>
      </c>
      <c r="R18" s="2"/>
      <c r="S18" s="5"/>
      <c r="U18" s="12"/>
      <c r="Z18" s="2"/>
      <c r="AH18" s="2"/>
      <c r="AP18" s="2"/>
    </row>
    <row r="19" spans="1:42" ht="15" customHeight="1" x14ac:dyDescent="0.2">
      <c r="B19" s="2"/>
      <c r="C19" s="36" t="str">
        <f ca="1">IF(DAY(maalissu1)=1,IF(AND(YEAR(maalissu1+29)=Kalenterivuosi,MONTH(maalissu1+29)=3),maalissu1+29,""),IF(AND(YEAR(maalissu1+36)=Kalenterivuosi,MONTH(maalissu1+36)=3),maalissu1+36,""))</f>
        <v/>
      </c>
      <c r="D19" s="36" t="str">
        <f ca="1">IF(DAY(maalissu1)=1,IF(AND(YEAR(maalissu1+30)=Kalenterivuosi,MONTH(maalissu1+30)=3),maalissu1+30,""),IF(AND(YEAR(maalissu1+37)=Kalenterivuosi,MONTH(maalissu1+37)=3),maalissu1+37,""))</f>
        <v/>
      </c>
      <c r="E19" s="36" t="str">
        <f ca="1">IF(DAY(maalissu1)=1,IF(AND(YEAR(maalissu1+31)=Kalenterivuosi,MONTH(maalissu1+31)=3),maalissu1+31,""),IF(AND(YEAR(maalissu1+38)=Kalenterivuosi,MONTH(maalissu1+38)=3),maalissu1+38,""))</f>
        <v/>
      </c>
      <c r="F19" s="36" t="str">
        <f ca="1">IF(DAY(maalissu1)=1,IF(AND(YEAR(maalissu1+32)=Kalenterivuosi,MONTH(maalissu1+32)=3),maalissu1+32,""),IF(AND(YEAR(maalissu1+39)=Kalenterivuosi,MONTH(maalissu1+39)=3),maalissu1+39,""))</f>
        <v/>
      </c>
      <c r="G19" s="36" t="str">
        <f ca="1">IF(DAY(maalissu1)=1,IF(AND(YEAR(maalissu1+33)=Kalenterivuosi,MONTH(maalissu1+33)=3),maalissu1+33,""),IF(AND(YEAR(maalissu1+40)=Kalenterivuosi,MONTH(maalissu1+40)=3),maalissu1+40,""))</f>
        <v/>
      </c>
      <c r="H19" s="36" t="str">
        <f ca="1">IF(DAY(maalissu1)=1,IF(AND(YEAR(maalissu1+34)=Kalenterivuosi,MONTH(maalissu1+34)=3),maalissu1+34,""),IF(AND(YEAR(maalissu1+41)=Kalenterivuosi,MONTH(maalissu1+41)=3),maalissu1+41,""))</f>
        <v/>
      </c>
      <c r="I19" s="36" t="str">
        <f ca="1">IF(DAY(maalissu1)=1,IF(AND(YEAR(maalissu1+35)=Kalenterivuosi,MONTH(maalissu1+35)=3),maalissu1+35,""),IF(AND(YEAR(maalissu1+42)=Kalenterivuosi,MONTH(maalissu1+42)=3),maalissu1+42,""))</f>
        <v/>
      </c>
      <c r="J19" s="20"/>
      <c r="K19" s="36" t="str">
        <f ca="1">IF(DAY(huhtisu1)=1,IF(AND(YEAR(huhtisu1+29)=Kalenterivuosi,MONTH(huhtisu1+29)=4),huhtisu1+29,""),IF(AND(YEAR(huhtisu1+36)=Kalenterivuosi,MONTH(huhtisu1+36)=4),huhtisu1+36,""))</f>
        <v/>
      </c>
      <c r="L19" s="36" t="str">
        <f ca="1">IF(DAY(huhtisu1)=1,IF(AND(YEAR(huhtisu1+30)=Kalenterivuosi,MONTH(huhtisu1+30)=4),huhtisu1+30,""),IF(AND(YEAR(huhtisu1+37)=Kalenterivuosi,MONTH(huhtisu1+37)=4),huhtisu1+37,""))</f>
        <v/>
      </c>
      <c r="M19" s="36" t="str">
        <f ca="1">IF(DAY(huhtisu1)=1,IF(AND(YEAR(huhtisu1+31)=Kalenterivuosi,MONTH(huhtisu1+31)=4),huhtisu1+31,""),IF(AND(YEAR(huhtisu1+38)=Kalenterivuosi,MONTH(huhtisu1+38)=4),huhtisu1+38,""))</f>
        <v/>
      </c>
      <c r="N19" s="36" t="str">
        <f ca="1">IF(DAY(huhtisu1)=1,IF(AND(YEAR(huhtisu1+32)=Kalenterivuosi,MONTH(huhtisu1+32)=4),huhtisu1+32,""),IF(AND(YEAR(huhtisu1+39)=Kalenterivuosi,MONTH(huhtisu1+39)=4),huhtisu1+39,""))</f>
        <v/>
      </c>
      <c r="O19" s="36" t="str">
        <f ca="1">IF(DAY(huhtisu1)=1,IF(AND(YEAR(huhtisu1+33)=Kalenterivuosi,MONTH(huhtisu1+33)=4),huhtisu1+33,""),IF(AND(YEAR(huhtisu1+40)=Kalenterivuosi,MONTH(huhtisu1+40)=4),huhtisu1+40,""))</f>
        <v/>
      </c>
      <c r="P19" s="36" t="str">
        <f ca="1">IF(DAY(huhtisu1)=1,IF(AND(YEAR(huhtisu1+34)=Kalenterivuosi,MONTH(huhtisu1+34)=4),huhtisu1+34,""),IF(AND(YEAR(huhtisu1+41)=Kalenterivuosi,MONTH(huhtisu1+41)=4),huhtisu1+41,""))</f>
        <v/>
      </c>
      <c r="Q19" s="36" t="str">
        <f ca="1">IF(DAY(huhtisu1)=1,IF(AND(YEAR(huhtisu1+35)=Kalenterivuosi,MONTH(huhtisu1+35)=4),huhtisu1+35,""),IF(AND(YEAR(huhtisu1+42)=Kalenterivuosi,MONTH(huhtisu1+42)=4),huhtisu1+42,""))</f>
        <v/>
      </c>
      <c r="R19" s="2"/>
      <c r="S19" s="5"/>
      <c r="U19" s="18"/>
      <c r="Z19" s="2"/>
      <c r="AH19" s="2"/>
      <c r="AP19" s="2"/>
    </row>
    <row r="20" spans="1:42" ht="15" customHeight="1" x14ac:dyDescent="0.2">
      <c r="B20" s="2"/>
      <c r="J20" s="20"/>
      <c r="R20" s="2"/>
      <c r="S20" s="5"/>
      <c r="U20" s="11"/>
      <c r="Z20" s="2"/>
      <c r="AH20" s="2"/>
      <c r="AP20" s="2"/>
    </row>
    <row r="21" spans="1:42" s="22" customFormat="1" ht="15" customHeight="1" x14ac:dyDescent="0.25">
      <c r="A21" s="1"/>
      <c r="B21" s="2"/>
      <c r="C21" s="4" t="s">
        <v>3</v>
      </c>
      <c r="D21" s="3"/>
      <c r="E21" s="3"/>
      <c r="F21" s="3"/>
      <c r="G21" s="3"/>
      <c r="H21" s="3"/>
      <c r="I21" s="3"/>
      <c r="J21" s="20"/>
      <c r="K21" s="4" t="s">
        <v>14</v>
      </c>
      <c r="L21" s="3"/>
      <c r="M21" s="3"/>
      <c r="N21" s="3"/>
      <c r="O21" s="3"/>
      <c r="P21" s="3"/>
      <c r="Q21" s="3"/>
      <c r="R21" s="2"/>
      <c r="S21" s="38"/>
      <c r="T21"/>
      <c r="U21" s="12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5" customHeight="1" x14ac:dyDescent="0.2">
      <c r="B22" s="2"/>
      <c r="C22" s="28" t="s">
        <v>1</v>
      </c>
      <c r="D22" s="28" t="s">
        <v>7</v>
      </c>
      <c r="E22" s="28" t="s">
        <v>8</v>
      </c>
      <c r="F22" s="28" t="s">
        <v>7</v>
      </c>
      <c r="G22" s="28" t="s">
        <v>9</v>
      </c>
      <c r="H22" s="28" t="s">
        <v>11</v>
      </c>
      <c r="I22" s="28" t="s">
        <v>11</v>
      </c>
      <c r="J22" s="21"/>
      <c r="K22" s="29" t="s">
        <v>1</v>
      </c>
      <c r="L22" s="29" t="s">
        <v>7</v>
      </c>
      <c r="M22" s="29" t="s">
        <v>8</v>
      </c>
      <c r="N22" s="29" t="s">
        <v>7</v>
      </c>
      <c r="O22" s="29" t="s">
        <v>9</v>
      </c>
      <c r="P22" s="29" t="s">
        <v>11</v>
      </c>
      <c r="Q22" s="29" t="s">
        <v>11</v>
      </c>
      <c r="R22" s="2"/>
      <c r="S22" s="5"/>
      <c r="U22" s="18"/>
      <c r="Z22" s="2"/>
      <c r="AH22" s="2"/>
      <c r="AP22" s="2"/>
    </row>
    <row r="23" spans="1:42" ht="15" customHeight="1" x14ac:dyDescent="0.25">
      <c r="B23" s="2"/>
      <c r="C23" s="36" t="str">
        <f ca="1">IF(DAY(toukosu1)=1,"",IF(AND(YEAR(toukosu1+1)=Kalenterivuosi,MONTH(toukosu1+1)=5),toukosu1+1,""))</f>
        <v/>
      </c>
      <c r="D23" s="36" t="str">
        <f ca="1">IF(DAY(toukosu1)=1,"",IF(AND(YEAR(toukosu1+2)=Kalenterivuosi,MONTH(toukosu1+2)=5),toukosu1+2,""))</f>
        <v/>
      </c>
      <c r="E23" s="36">
        <f ca="1">IF(DAY(toukosu1)=1,"",IF(AND(YEAR(toukosu1+3)=Kalenterivuosi,MONTH(toukosu1+3)=5),toukosu1+3,""))</f>
        <v>43586</v>
      </c>
      <c r="F23" s="36">
        <f ca="1">IF(DAY(toukosu1)=1,"",IF(AND(YEAR(toukosu1+4)=Kalenterivuosi,MONTH(toukosu1+4)=5),toukosu1+4,""))</f>
        <v>43587</v>
      </c>
      <c r="G23" s="36">
        <f ca="1">IF(DAY(toukosu1)=1,"",IF(AND(YEAR(toukosu1+5)=Kalenterivuosi,MONTH(toukosu1+5)=5),toukosu1+5,""))</f>
        <v>43588</v>
      </c>
      <c r="H23" s="36">
        <f ca="1">IF(DAY(toukosu1)=1,"",IF(AND(YEAR(toukosu1+6)=Kalenterivuosi,MONTH(toukosu1+6)=5),toukosu1+6,""))</f>
        <v>43589</v>
      </c>
      <c r="I23" s="36">
        <f ca="1">IF(DAY(toukosu1)=1,IF(AND(YEAR(toukosu1)=Kalenterivuosi,MONTH(toukosu1)=5),toukosu1,""),IF(AND(YEAR(toukosu1+7)=Kalenterivuosi,MONTH(toukosu1+7)=5),toukosu1+7,""))</f>
        <v>43590</v>
      </c>
      <c r="J23" s="19"/>
      <c r="K23" s="36" t="str">
        <f ca="1">IF(DAY(kesäsu1)=1,"",IF(AND(YEAR(kesäsu1+1)=Kalenterivuosi,MONTH(kesäsu1+1)=6),kesäsu1+1,""))</f>
        <v/>
      </c>
      <c r="L23" s="36" t="str">
        <f ca="1">IF(DAY(kesäsu1)=1,"",IF(AND(YEAR(kesäsu1+2)=Kalenterivuosi,MONTH(kesäsu1+2)=6),kesäsu1+2,""))</f>
        <v/>
      </c>
      <c r="M23" s="36" t="str">
        <f ca="1">IF(DAY(kesäsu1)=1,"",IF(AND(YEAR(kesäsu1+3)=Kalenterivuosi,MONTH(kesäsu1+3)=6),kesäsu1+3,""))</f>
        <v/>
      </c>
      <c r="N23" s="36" t="str">
        <f ca="1">IF(DAY(kesäsu1)=1,"",IF(AND(YEAR(kesäsu1+4)=Kalenterivuosi,MONTH(kesäsu1+4)=6),kesäsu1+4,""))</f>
        <v/>
      </c>
      <c r="O23" s="36" t="str">
        <f ca="1">IF(DAY(kesäsu1)=1,"",IF(AND(YEAR(kesäsu1+5)=Kalenterivuosi,MONTH(kesäsu1+5)=6),kesäsu1+5,""))</f>
        <v/>
      </c>
      <c r="P23" s="36">
        <f ca="1">IF(DAY(kesäsu1)=1,"",IF(AND(YEAR(kesäsu1+6)=Kalenterivuosi,MONTH(kesäsu1+6)=6),kesäsu1+6,""))</f>
        <v>43617</v>
      </c>
      <c r="Q23" s="36">
        <f ca="1">IF(DAY(kesäsu1)=1,IF(AND(YEAR(kesäsu1)=Kalenterivuosi,MONTH(kesäsu1)=6),kesäsu1,""),IF(AND(YEAR(kesäsu1+7)=Kalenterivuosi,MONTH(kesäsu1+7)=6),kesäsu1+7,""))</f>
        <v>43618</v>
      </c>
      <c r="R23" s="2"/>
      <c r="S23" s="5"/>
      <c r="U23" s="11"/>
      <c r="Z23" s="2"/>
      <c r="AH23" s="2"/>
      <c r="AP23" s="2"/>
    </row>
    <row r="24" spans="1:42" ht="15" customHeight="1" x14ac:dyDescent="0.2">
      <c r="B24" s="2"/>
      <c r="C24" s="36">
        <f ca="1">IF(DAY(toukosu1)=1,IF(AND(YEAR(toukosu1+1)=Kalenterivuosi,MONTH(toukosu1+1)=5),toukosu1+1,""),IF(AND(YEAR(toukosu1+8)=Kalenterivuosi,MONTH(toukosu1+8)=5),toukosu1+8,""))</f>
        <v>43591</v>
      </c>
      <c r="D24" s="36">
        <f ca="1">IF(DAY(toukosu1)=1,IF(AND(YEAR(toukosu1+2)=Kalenterivuosi,MONTH(toukosu1+2)=5),toukosu1+2,""),IF(AND(YEAR(toukosu1+9)=Kalenterivuosi,MONTH(toukosu1+9)=5),toukosu1+9,""))</f>
        <v>43592</v>
      </c>
      <c r="E24" s="36">
        <f ca="1">IF(DAY(toukosu1)=1,IF(AND(YEAR(toukosu1+3)=Kalenterivuosi,MONTH(toukosu1+3)=5),toukosu1+3,""),IF(AND(YEAR(toukosu1+10)=Kalenterivuosi,MONTH(toukosu1+10)=5),toukosu1+10,""))</f>
        <v>43593</v>
      </c>
      <c r="F24" s="36">
        <f ca="1">IF(DAY(toukosu1)=1,IF(AND(YEAR(toukosu1+4)=Kalenterivuosi,MONTH(toukosu1+4)=5),toukosu1+4,""),IF(AND(YEAR(toukosu1+11)=Kalenterivuosi,MONTH(toukosu1+11)=5),toukosu1+11,""))</f>
        <v>43594</v>
      </c>
      <c r="G24" s="36">
        <f ca="1">IF(DAY(toukosu1)=1,IF(AND(YEAR(toukosu1+5)=Kalenterivuosi,MONTH(toukosu1+5)=5),toukosu1+5,""),IF(AND(YEAR(toukosu1+12)=Kalenterivuosi,MONTH(toukosu1+12)=5),toukosu1+12,""))</f>
        <v>43595</v>
      </c>
      <c r="H24" s="36">
        <f ca="1">IF(DAY(toukosu1)=1,IF(AND(YEAR(toukosu1+6)=Kalenterivuosi,MONTH(toukosu1+6)=5),toukosu1+6,""),IF(AND(YEAR(toukosu1+13)=Kalenterivuosi,MONTH(toukosu1+13)=5),toukosu1+13,""))</f>
        <v>43596</v>
      </c>
      <c r="I24" s="36">
        <f ca="1">IF(DAY(toukosu1)=1,IF(AND(YEAR(toukosu1+7)=Kalenterivuosi,MONTH(toukosu1+7)=5),toukosu1+7,""),IF(AND(YEAR(toukosu1+14)=Kalenterivuosi,MONTH(toukosu1+14)=5),toukosu1+14,""))</f>
        <v>43597</v>
      </c>
      <c r="J24" s="20"/>
      <c r="K24" s="36">
        <f ca="1">IF(DAY(kesäsu1)=1,IF(AND(YEAR(kesäsu1+1)=Kalenterivuosi,MONTH(kesäsu1+1)=6),kesäsu1+1,""),IF(AND(YEAR(kesäsu1+8)=Kalenterivuosi,MONTH(kesäsu1+8)=6),kesäsu1+8,""))</f>
        <v>43619</v>
      </c>
      <c r="L24" s="36">
        <f ca="1">IF(DAY(kesäsu1)=1,IF(AND(YEAR(kesäsu1+2)=Kalenterivuosi,MONTH(kesäsu1+2)=6),kesäsu1+2,""),IF(AND(YEAR(kesäsu1+9)=Kalenterivuosi,MONTH(kesäsu1+9)=6),kesäsu1+9,""))</f>
        <v>43620</v>
      </c>
      <c r="M24" s="36">
        <f ca="1">IF(DAY(kesäsu1)=1,IF(AND(YEAR(kesäsu1+3)=Kalenterivuosi,MONTH(kesäsu1+3)=6),kesäsu1+3,""),IF(AND(YEAR(kesäsu1+10)=Kalenterivuosi,MONTH(kesäsu1+10)=6),kesäsu1+10,""))</f>
        <v>43621</v>
      </c>
      <c r="N24" s="36">
        <f ca="1">IF(DAY(kesäsu1)=1,IF(AND(YEAR(kesäsu1+4)=Kalenterivuosi,MONTH(kesäsu1+4)=6),kesäsu1+4,""),IF(AND(YEAR(kesäsu1+11)=Kalenterivuosi,MONTH(kesäsu1+11)=6),kesäsu1+11,""))</f>
        <v>43622</v>
      </c>
      <c r="O24" s="36">
        <f ca="1">IF(DAY(kesäsu1)=1,IF(AND(YEAR(kesäsu1+5)=Kalenterivuosi,MONTH(kesäsu1+5)=6),kesäsu1+5,""),IF(AND(YEAR(kesäsu1+12)=Kalenterivuosi,MONTH(kesäsu1+12)=6),kesäsu1+12,""))</f>
        <v>43623</v>
      </c>
      <c r="P24" s="36">
        <f ca="1">IF(DAY(kesäsu1)=1,IF(AND(YEAR(kesäsu1+6)=Kalenterivuosi,MONTH(kesäsu1+6)=6),kesäsu1+6,""),IF(AND(YEAR(kesäsu1+13)=Kalenterivuosi,MONTH(kesäsu1+13)=6),kesäsu1+13,""))</f>
        <v>43624</v>
      </c>
      <c r="Q24" s="36">
        <f ca="1">IF(DAY(kesäsu1)=1,IF(AND(YEAR(kesäsu1+7)=Kalenterivuosi,MONTH(kesäsu1+7)=6),kesäsu1+7,""),IF(AND(YEAR(kesäsu1+14)=Kalenterivuosi,MONTH(kesäsu1+14)=6),kesäsu1+14,""))</f>
        <v>43625</v>
      </c>
      <c r="R24" s="2"/>
      <c r="S24" s="5"/>
      <c r="U24" s="12"/>
      <c r="Z24" s="2"/>
      <c r="AH24" s="2"/>
      <c r="AP24" s="2"/>
    </row>
    <row r="25" spans="1:42" ht="15" customHeight="1" x14ac:dyDescent="0.2">
      <c r="B25" s="2"/>
      <c r="C25" s="36">
        <f ca="1">IF(DAY(toukosu1)=1,IF(AND(YEAR(toukosu1+8)=Kalenterivuosi,MONTH(toukosu1+8)=5),toukosu1+8,""),IF(AND(YEAR(toukosu1+15)=Kalenterivuosi,MONTH(toukosu1+15)=5),toukosu1+15,""))</f>
        <v>43598</v>
      </c>
      <c r="D25" s="36">
        <f ca="1">IF(DAY(toukosu1)=1,IF(AND(YEAR(toukosu1+9)=Kalenterivuosi,MONTH(toukosu1+9)=5),toukosu1+9,""),IF(AND(YEAR(toukosu1+16)=Kalenterivuosi,MONTH(toukosu1+16)=5),toukosu1+16,""))</f>
        <v>43599</v>
      </c>
      <c r="E25" s="36">
        <f ca="1">IF(DAY(toukosu1)=1,IF(AND(YEAR(toukosu1+10)=Kalenterivuosi,MONTH(toukosu1+10)=5),toukosu1+10,""),IF(AND(YEAR(toukosu1+17)=Kalenterivuosi,MONTH(toukosu1+17)=5),toukosu1+17,""))</f>
        <v>43600</v>
      </c>
      <c r="F25" s="36">
        <f ca="1">IF(DAY(toukosu1)=1,IF(AND(YEAR(toukosu1+11)=Kalenterivuosi,MONTH(toukosu1+11)=5),toukosu1+11,""),IF(AND(YEAR(toukosu1+18)=Kalenterivuosi,MONTH(toukosu1+18)=5),toukosu1+18,""))</f>
        <v>43601</v>
      </c>
      <c r="G25" s="36">
        <f ca="1">IF(DAY(toukosu1)=1,IF(AND(YEAR(toukosu1+12)=Kalenterivuosi,MONTH(toukosu1+12)=5),toukosu1+12,""),IF(AND(YEAR(toukosu1+19)=Kalenterivuosi,MONTH(toukosu1+19)=5),toukosu1+19,""))</f>
        <v>43602</v>
      </c>
      <c r="H25" s="36">
        <f ca="1">IF(DAY(toukosu1)=1,IF(AND(YEAR(toukosu1+13)=Kalenterivuosi,MONTH(toukosu1+13)=5),toukosu1+13,""),IF(AND(YEAR(toukosu1+20)=Kalenterivuosi,MONTH(toukosu1+20)=5),toukosu1+20,""))</f>
        <v>43603</v>
      </c>
      <c r="I25" s="36">
        <f ca="1">IF(DAY(toukosu1)=1,IF(AND(YEAR(toukosu1+14)=Kalenterivuosi,MONTH(toukosu1+14)=5),toukosu1+14,""),IF(AND(YEAR(toukosu1+21)=Kalenterivuosi,MONTH(toukosu1+21)=5),toukosu1+21,""))</f>
        <v>43604</v>
      </c>
      <c r="J25" s="20"/>
      <c r="K25" s="36">
        <f ca="1">IF(DAY(kesäsu1)=1,IF(AND(YEAR(kesäsu1+8)=Kalenterivuosi,MONTH(kesäsu1+8)=6),kesäsu1+8,""),IF(AND(YEAR(kesäsu1+15)=Kalenterivuosi,MONTH(kesäsu1+15)=6),kesäsu1+15,""))</f>
        <v>43626</v>
      </c>
      <c r="L25" s="36">
        <f ca="1">IF(DAY(kesäsu1)=1,IF(AND(YEAR(kesäsu1+9)=Kalenterivuosi,MONTH(kesäsu1+9)=6),kesäsu1+9,""),IF(AND(YEAR(kesäsu1+16)=Kalenterivuosi,MONTH(kesäsu1+16)=6),kesäsu1+16,""))</f>
        <v>43627</v>
      </c>
      <c r="M25" s="36">
        <f ca="1">IF(DAY(kesäsu1)=1,IF(AND(YEAR(kesäsu1+10)=Kalenterivuosi,MONTH(kesäsu1+10)=6),kesäsu1+10,""),IF(AND(YEAR(kesäsu1+17)=Kalenterivuosi,MONTH(kesäsu1+17)=6),kesäsu1+17,""))</f>
        <v>43628</v>
      </c>
      <c r="N25" s="36">
        <f ca="1">IF(DAY(kesäsu1)=1,IF(AND(YEAR(kesäsu1+11)=Kalenterivuosi,MONTH(kesäsu1+11)=6),kesäsu1+11,""),IF(AND(YEAR(kesäsu1+18)=Kalenterivuosi,MONTH(kesäsu1+18)=6),kesäsu1+18,""))</f>
        <v>43629</v>
      </c>
      <c r="O25" s="36">
        <f ca="1">IF(DAY(kesäsu1)=1,IF(AND(YEAR(kesäsu1+12)=Kalenterivuosi,MONTH(kesäsu1+12)=6),kesäsu1+12,""),IF(AND(YEAR(kesäsu1+19)=Kalenterivuosi,MONTH(kesäsu1+19)=6),kesäsu1+19,""))</f>
        <v>43630</v>
      </c>
      <c r="P25" s="36">
        <f ca="1">IF(DAY(kesäsu1)=1,IF(AND(YEAR(kesäsu1+13)=Kalenterivuosi,MONTH(kesäsu1+13)=6),kesäsu1+13,""),IF(AND(YEAR(kesäsu1+20)=Kalenterivuosi,MONTH(kesäsu1+20)=6),kesäsu1+20,""))</f>
        <v>43631</v>
      </c>
      <c r="Q25" s="36">
        <f ca="1">IF(DAY(kesäsu1)=1,IF(AND(YEAR(kesäsu1+14)=Kalenterivuosi,MONTH(kesäsu1+14)=6),kesäsu1+14,""),IF(AND(YEAR(kesäsu1+21)=Kalenterivuosi,MONTH(kesäsu1+21)=6),kesäsu1+21,""))</f>
        <v>43632</v>
      </c>
      <c r="R25" s="2"/>
      <c r="S25" s="5"/>
      <c r="U25" s="18"/>
      <c r="Z25" s="2"/>
      <c r="AH25" s="2"/>
      <c r="AP25" s="2"/>
    </row>
    <row r="26" spans="1:42" ht="15" customHeight="1" x14ac:dyDescent="0.2">
      <c r="B26" s="2"/>
      <c r="C26" s="36">
        <f ca="1">IF(DAY(toukosu1)=1,IF(AND(YEAR(toukosu1+15)=Kalenterivuosi,MONTH(toukosu1+15)=5),toukosu1+15,""),IF(AND(YEAR(toukosu1+22)=Kalenterivuosi,MONTH(toukosu1+22)=5),toukosu1+22,""))</f>
        <v>43605</v>
      </c>
      <c r="D26" s="36">
        <f ca="1">IF(DAY(toukosu1)=1,IF(AND(YEAR(toukosu1+16)=Kalenterivuosi,MONTH(toukosu1+16)=5),toukosu1+16,""),IF(AND(YEAR(toukosu1+23)=Kalenterivuosi,MONTH(toukosu1+23)=5),toukosu1+23,""))</f>
        <v>43606</v>
      </c>
      <c r="E26" s="36">
        <f ca="1">IF(DAY(toukosu1)=1,IF(AND(YEAR(toukosu1+17)=Kalenterivuosi,MONTH(toukosu1+17)=5),toukosu1+17,""),IF(AND(YEAR(toukosu1+24)=Kalenterivuosi,MONTH(toukosu1+24)=5),toukosu1+24,""))</f>
        <v>43607</v>
      </c>
      <c r="F26" s="36">
        <f ca="1">IF(DAY(toukosu1)=1,IF(AND(YEAR(toukosu1+18)=Kalenterivuosi,MONTH(toukosu1+18)=5),toukosu1+18,""),IF(AND(YEAR(toukosu1+25)=Kalenterivuosi,MONTH(toukosu1+25)=5),toukosu1+25,""))</f>
        <v>43608</v>
      </c>
      <c r="G26" s="36">
        <f ca="1">IF(DAY(toukosu1)=1,IF(AND(YEAR(toukosu1+19)=Kalenterivuosi,MONTH(toukosu1+19)=5),toukosu1+19,""),IF(AND(YEAR(toukosu1+26)=Kalenterivuosi,MONTH(toukosu1+26)=5),toukosu1+26,""))</f>
        <v>43609</v>
      </c>
      <c r="H26" s="36">
        <f ca="1">IF(DAY(toukosu1)=1,IF(AND(YEAR(toukosu1+20)=Kalenterivuosi,MONTH(toukosu1+20)=5),toukosu1+20,""),IF(AND(YEAR(toukosu1+27)=Kalenterivuosi,MONTH(toukosu1+27)=5),toukosu1+27,""))</f>
        <v>43610</v>
      </c>
      <c r="I26" s="36">
        <f ca="1">IF(DAY(toukosu1)=1,IF(AND(YEAR(toukosu1+21)=Kalenterivuosi,MONTH(toukosu1+21)=5),toukosu1+21,""),IF(AND(YEAR(toukosu1+28)=Kalenterivuosi,MONTH(toukosu1+28)=5),toukosu1+28,""))</f>
        <v>43611</v>
      </c>
      <c r="J26" s="20"/>
      <c r="K26" s="36">
        <f ca="1">IF(DAY(kesäsu1)=1,IF(AND(YEAR(kesäsu1+15)=Kalenterivuosi,MONTH(kesäsu1+15)=6),kesäsu1+15,""),IF(AND(YEAR(kesäsu1+22)=Kalenterivuosi,MONTH(kesäsu1+22)=6),kesäsu1+22,""))</f>
        <v>43633</v>
      </c>
      <c r="L26" s="36">
        <f ca="1">IF(DAY(kesäsu1)=1,IF(AND(YEAR(kesäsu1+16)=Kalenterivuosi,MONTH(kesäsu1+16)=6),kesäsu1+16,""),IF(AND(YEAR(kesäsu1+23)=Kalenterivuosi,MONTH(kesäsu1+23)=6),kesäsu1+23,""))</f>
        <v>43634</v>
      </c>
      <c r="M26" s="36">
        <f ca="1">IF(DAY(kesäsu1)=1,IF(AND(YEAR(kesäsu1+17)=Kalenterivuosi,MONTH(kesäsu1+17)=6),kesäsu1+17,""),IF(AND(YEAR(kesäsu1+24)=Kalenterivuosi,MONTH(kesäsu1+24)=6),kesäsu1+24,""))</f>
        <v>43635</v>
      </c>
      <c r="N26" s="36">
        <f ca="1">IF(DAY(kesäsu1)=1,IF(AND(YEAR(kesäsu1+18)=Kalenterivuosi,MONTH(kesäsu1+18)=6),kesäsu1+18,""),IF(AND(YEAR(kesäsu1+25)=Kalenterivuosi,MONTH(kesäsu1+25)=6),kesäsu1+25,""))</f>
        <v>43636</v>
      </c>
      <c r="O26" s="36">
        <f ca="1">IF(DAY(kesäsu1)=1,IF(AND(YEAR(kesäsu1+19)=Kalenterivuosi,MONTH(kesäsu1+19)=6),kesäsu1+19,""),IF(AND(YEAR(kesäsu1+26)=Kalenterivuosi,MONTH(kesäsu1+26)=6),kesäsu1+26,""))</f>
        <v>43637</v>
      </c>
      <c r="P26" s="36">
        <f ca="1">IF(DAY(kesäsu1)=1,IF(AND(YEAR(kesäsu1+20)=Kalenterivuosi,MONTH(kesäsu1+20)=6),kesäsu1+20,""),IF(AND(YEAR(kesäsu1+27)=Kalenterivuosi,MONTH(kesäsu1+27)=6),kesäsu1+27,""))</f>
        <v>43638</v>
      </c>
      <c r="Q26" s="36">
        <f ca="1">IF(DAY(kesäsu1)=1,IF(AND(YEAR(kesäsu1+21)=Kalenterivuosi,MONTH(kesäsu1+21)=6),kesäsu1+21,""),IF(AND(YEAR(kesäsu1+28)=Kalenterivuosi,MONTH(kesäsu1+28)=6),kesäsu1+28,""))</f>
        <v>43639</v>
      </c>
      <c r="R26" s="2"/>
      <c r="S26" s="5"/>
      <c r="U26" s="11"/>
      <c r="Z26" s="2"/>
      <c r="AH26" s="2"/>
      <c r="AP26" s="2"/>
    </row>
    <row r="27" spans="1:42" ht="15" customHeight="1" x14ac:dyDescent="0.2">
      <c r="B27" s="2"/>
      <c r="C27" s="36">
        <f ca="1">IF(DAY(toukosu1)=1,IF(AND(YEAR(toukosu1+22)=Kalenterivuosi,MONTH(toukosu1+22)=5),toukosu1+22,""),IF(AND(YEAR(toukosu1+29)=Kalenterivuosi,MONTH(toukosu1+29)=5),toukosu1+29,""))</f>
        <v>43612</v>
      </c>
      <c r="D27" s="36">
        <f ca="1">IF(DAY(toukosu1)=1,IF(AND(YEAR(toukosu1+23)=Kalenterivuosi,MONTH(toukosu1+23)=5),toukosu1+23,""),IF(AND(YEAR(toukosu1+30)=Kalenterivuosi,MONTH(toukosu1+30)=5),toukosu1+30,""))</f>
        <v>43613</v>
      </c>
      <c r="E27" s="36">
        <f ca="1">IF(DAY(toukosu1)=1,IF(AND(YEAR(toukosu1+24)=Kalenterivuosi,MONTH(toukosu1+24)=5),toukosu1+24,""),IF(AND(YEAR(toukosu1+31)=Kalenterivuosi,MONTH(toukosu1+31)=5),toukosu1+31,""))</f>
        <v>43614</v>
      </c>
      <c r="F27" s="36">
        <f ca="1">IF(DAY(toukosu1)=1,IF(AND(YEAR(toukosu1+25)=Kalenterivuosi,MONTH(toukosu1+25)=5),toukosu1+25,""),IF(AND(YEAR(toukosu1+32)=Kalenterivuosi,MONTH(toukosu1+32)=5),toukosu1+32,""))</f>
        <v>43615</v>
      </c>
      <c r="G27" s="36">
        <f ca="1">IF(DAY(toukosu1)=1,IF(AND(YEAR(toukosu1+26)=Kalenterivuosi,MONTH(toukosu1+26)=5),toukosu1+26,""),IF(AND(YEAR(toukosu1+33)=Kalenterivuosi,MONTH(toukosu1+33)=5),toukosu1+33,""))</f>
        <v>43616</v>
      </c>
      <c r="H27" s="36" t="str">
        <f ca="1">IF(DAY(toukosu1)=1,IF(AND(YEAR(toukosu1+27)=Kalenterivuosi,MONTH(toukosu1+27)=5),toukosu1+27,""),IF(AND(YEAR(toukosu1+34)=Kalenterivuosi,MONTH(toukosu1+34)=5),toukosu1+34,""))</f>
        <v/>
      </c>
      <c r="I27" s="36" t="str">
        <f ca="1">IF(DAY(toukosu1)=1,IF(AND(YEAR(toukosu1+28)=Kalenterivuosi,MONTH(toukosu1+28)=5),toukosu1+28,""),IF(AND(YEAR(toukosu1+35)=Kalenterivuosi,MONTH(toukosu1+35)=5),toukosu1+35,""))</f>
        <v/>
      </c>
      <c r="J27" s="20"/>
      <c r="K27" s="36">
        <f ca="1">IF(DAY(kesäsu1)=1,IF(AND(YEAR(kesäsu1+22)=Kalenterivuosi,MONTH(kesäsu1+22)=6),kesäsu1+22,""),IF(AND(YEAR(kesäsu1+29)=Kalenterivuosi,MONTH(kesäsu1+29)=6),kesäsu1+29,""))</f>
        <v>43640</v>
      </c>
      <c r="L27" s="36">
        <f ca="1">IF(DAY(kesäsu1)=1,IF(AND(YEAR(kesäsu1+23)=Kalenterivuosi,MONTH(kesäsu1+23)=6),kesäsu1+23,""),IF(AND(YEAR(kesäsu1+30)=Kalenterivuosi,MONTH(kesäsu1+30)=6),kesäsu1+30,""))</f>
        <v>43641</v>
      </c>
      <c r="M27" s="36">
        <f ca="1">IF(DAY(kesäsu1)=1,IF(AND(YEAR(kesäsu1+24)=Kalenterivuosi,MONTH(kesäsu1+24)=6),kesäsu1+24,""),IF(AND(YEAR(kesäsu1+31)=Kalenterivuosi,MONTH(kesäsu1+31)=6),kesäsu1+31,""))</f>
        <v>43642</v>
      </c>
      <c r="N27" s="36">
        <f ca="1">IF(DAY(kesäsu1)=1,IF(AND(YEAR(kesäsu1+25)=Kalenterivuosi,MONTH(kesäsu1+25)=6),kesäsu1+25,""),IF(AND(YEAR(kesäsu1+32)=Kalenterivuosi,MONTH(kesäsu1+32)=6),kesäsu1+32,""))</f>
        <v>43643</v>
      </c>
      <c r="O27" s="36">
        <f ca="1">IF(DAY(kesäsu1)=1,IF(AND(YEAR(kesäsu1+26)=Kalenterivuosi,MONTH(kesäsu1+26)=6),kesäsu1+26,""),IF(AND(YEAR(kesäsu1+33)=Kalenterivuosi,MONTH(kesäsu1+33)=6),kesäsu1+33,""))</f>
        <v>43644</v>
      </c>
      <c r="P27" s="36">
        <f ca="1">IF(DAY(kesäsu1)=1,IF(AND(YEAR(kesäsu1+27)=Kalenterivuosi,MONTH(kesäsu1+27)=6),kesäsu1+27,""),IF(AND(YEAR(kesäsu1+34)=Kalenterivuosi,MONTH(kesäsu1+34)=6),kesäsu1+34,""))</f>
        <v>43645</v>
      </c>
      <c r="Q27" s="36">
        <f ca="1">IF(DAY(kesäsu1)=1,IF(AND(YEAR(kesäsu1+28)=Kalenterivuosi,MONTH(kesäsu1+28)=6),kesäsu1+28,""),IF(AND(YEAR(kesäsu1+35)=Kalenterivuosi,MONTH(kesäsu1+35)=6),kesäsu1+35,""))</f>
        <v>43646</v>
      </c>
      <c r="R27" s="2"/>
      <c r="S27" s="5"/>
      <c r="U27" s="12"/>
      <c r="Z27" s="2"/>
      <c r="AH27" s="2"/>
      <c r="AP27" s="2"/>
    </row>
    <row r="28" spans="1:42" ht="15" customHeight="1" x14ac:dyDescent="0.2">
      <c r="B28" s="2"/>
      <c r="C28" s="36" t="str">
        <f ca="1">IF(DAY(toukosu1)=1,IF(AND(YEAR(toukosu1+29)=Kalenterivuosi,MONTH(toukosu1+29)=5),toukosu1+29,""),IF(AND(YEAR(toukosu1+36)=Kalenterivuosi,MONTH(toukosu1+36)=5),toukosu1+36,""))</f>
        <v/>
      </c>
      <c r="D28" s="36" t="str">
        <f ca="1">IF(DAY(toukosu1)=1,IF(AND(YEAR(toukosu1+30)=Kalenterivuosi,MONTH(toukosu1+30)=5),toukosu1+30,""),IF(AND(YEAR(toukosu1+37)=Kalenterivuosi,MONTH(toukosu1+37)=5),toukosu1+37,""))</f>
        <v/>
      </c>
      <c r="E28" s="36" t="str">
        <f ca="1">IF(DAY(toukosu1)=1,IF(AND(YEAR(toukosu1+31)=Kalenterivuosi,MONTH(toukosu1+31)=5),toukosu1+31,""),IF(AND(YEAR(toukosu1+38)=Kalenterivuosi,MONTH(toukosu1+38)=5),toukosu1+38,""))</f>
        <v/>
      </c>
      <c r="F28" s="36" t="str">
        <f ca="1">IF(DAY(toukosu1)=1,IF(AND(YEAR(toukosu1+32)=Kalenterivuosi,MONTH(toukosu1+32)=5),toukosu1+32,""),IF(AND(YEAR(toukosu1+39)=Kalenterivuosi,MONTH(toukosu1+39)=5),toukosu1+39,""))</f>
        <v/>
      </c>
      <c r="G28" s="36" t="str">
        <f ca="1">IF(DAY(toukosu1)=1,IF(AND(YEAR(toukosu1+33)=Kalenterivuosi,MONTH(toukosu1+33)=5),toukosu1+33,""),IF(AND(YEAR(toukosu1+40)=Kalenterivuosi,MONTH(toukosu1+40)=5),toukosu1+40,""))</f>
        <v/>
      </c>
      <c r="H28" s="36" t="str">
        <f ca="1">IF(DAY(toukosu1)=1,IF(AND(YEAR(toukosu1+34)=Kalenterivuosi,MONTH(toukosu1+34)=5),toukosu1+34,""),IF(AND(YEAR(toukosu1+41)=Kalenterivuosi,MONTH(toukosu1+41)=5),toukosu1+41,""))</f>
        <v/>
      </c>
      <c r="I28" s="36" t="str">
        <f ca="1">IF(DAY(toukosu1)=1,IF(AND(YEAR(toukosu1+35)=Kalenterivuosi,MONTH(toukosu1+35)=5),toukosu1+35,""),IF(AND(YEAR(toukosu1+42)=Kalenterivuosi,MONTH(toukosu1+42)=5),toukosu1+42,""))</f>
        <v/>
      </c>
      <c r="J28" s="20"/>
      <c r="K28" s="36" t="str">
        <f ca="1">IF(DAY(kesäsu1)=1,IF(AND(YEAR(kesäsu1+29)=Kalenterivuosi,MONTH(kesäsu1+29)=6),kesäsu1+29,""),IF(AND(YEAR(kesäsu1+36)=Kalenterivuosi,MONTH(kesäsu1+36)=6),kesäsu1+36,""))</f>
        <v/>
      </c>
      <c r="L28" s="36" t="str">
        <f ca="1">IF(DAY(kesäsu1)=1,IF(AND(YEAR(kesäsu1+30)=Kalenterivuosi,MONTH(kesäsu1+30)=6),kesäsu1+30,""),IF(AND(YEAR(kesäsu1+37)=Kalenterivuosi,MONTH(kesäsu1+37)=6),kesäsu1+37,""))</f>
        <v/>
      </c>
      <c r="M28" s="36" t="str">
        <f ca="1">IF(DAY(kesäsu1)=1,IF(AND(YEAR(kesäsu1+31)=Kalenterivuosi,MONTH(kesäsu1+31)=6),kesäsu1+31,""),IF(AND(YEAR(kesäsu1+38)=Kalenterivuosi,MONTH(kesäsu1+38)=6),kesäsu1+38,""))</f>
        <v/>
      </c>
      <c r="N28" s="36" t="str">
        <f ca="1">IF(DAY(kesäsu1)=1,IF(AND(YEAR(kesäsu1+32)=Kalenterivuosi,MONTH(kesäsu1+32)=6),kesäsu1+32,""),IF(AND(YEAR(kesäsu1+39)=Kalenterivuosi,MONTH(kesäsu1+39)=6),kesäsu1+39,""))</f>
        <v/>
      </c>
      <c r="O28" s="36" t="str">
        <f ca="1">IF(DAY(kesäsu1)=1,IF(AND(YEAR(kesäsu1+33)=Kalenterivuosi,MONTH(kesäsu1+33)=6),kesäsu1+33,""),IF(AND(YEAR(kesäsu1+40)=Kalenterivuosi,MONTH(kesäsu1+40)=6),kesäsu1+40,""))</f>
        <v/>
      </c>
      <c r="P28" s="36" t="str">
        <f ca="1">IF(DAY(kesäsu1)=1,IF(AND(YEAR(kesäsu1+34)=Kalenterivuosi,MONTH(kesäsu1+34)=6),kesäsu1+34,""),IF(AND(YEAR(kesäsu1+41)=Kalenterivuosi,MONTH(kesäsu1+41)=6),kesäsu1+41,""))</f>
        <v/>
      </c>
      <c r="Q28" s="36" t="str">
        <f ca="1">IF(DAY(kesäsu1)=1,IF(AND(YEAR(kesäsu1+35)=Kalenterivuosi,MONTH(kesäsu1+35)=6),kesäsu1+35,""),IF(AND(YEAR(kesäsu1+42)=Kalenterivuosi,MONTH(kesäsu1+42)=6),kesäsu1+42,""))</f>
        <v/>
      </c>
      <c r="R28" s="2"/>
      <c r="S28" s="5"/>
      <c r="U28" s="18"/>
      <c r="Z28" s="2"/>
      <c r="AH28" s="2"/>
      <c r="AP28" s="2"/>
    </row>
    <row r="29" spans="1:42" ht="15" customHeight="1" x14ac:dyDescent="0.2">
      <c r="B29" s="2"/>
      <c r="J29" s="20"/>
      <c r="R29" s="2"/>
      <c r="S29" s="5"/>
      <c r="U29" s="11"/>
      <c r="Z29" s="2"/>
      <c r="AH29" s="2"/>
      <c r="AP29" s="2"/>
    </row>
    <row r="30" spans="1:42" ht="15" customHeight="1" x14ac:dyDescent="0.25">
      <c r="B30" s="2"/>
      <c r="C30" s="4" t="s">
        <v>4</v>
      </c>
      <c r="D30" s="3"/>
      <c r="E30" s="3"/>
      <c r="F30" s="3"/>
      <c r="G30" s="3"/>
      <c r="H30" s="3"/>
      <c r="I30" s="3"/>
      <c r="J30" s="20"/>
      <c r="K30" s="4" t="s">
        <v>15</v>
      </c>
      <c r="L30" s="3"/>
      <c r="M30" s="3"/>
      <c r="N30" s="3"/>
      <c r="O30" s="3"/>
      <c r="P30" s="3"/>
      <c r="Q30" s="3"/>
      <c r="S30" s="7"/>
      <c r="U30" s="12"/>
      <c r="V30" s="2"/>
      <c r="W30" s="2"/>
      <c r="X30" s="2"/>
      <c r="Y30" s="2"/>
      <c r="Z30" s="2"/>
      <c r="AH30" s="2"/>
      <c r="AP30" s="2"/>
    </row>
    <row r="31" spans="1:42" ht="15" customHeight="1" x14ac:dyDescent="0.2">
      <c r="C31" s="30" t="s">
        <v>1</v>
      </c>
      <c r="D31" s="30" t="s">
        <v>7</v>
      </c>
      <c r="E31" s="30" t="s">
        <v>8</v>
      </c>
      <c r="F31" s="30" t="s">
        <v>7</v>
      </c>
      <c r="G31" s="30" t="s">
        <v>9</v>
      </c>
      <c r="H31" s="30" t="s">
        <v>11</v>
      </c>
      <c r="I31" s="30" t="s">
        <v>11</v>
      </c>
      <c r="J31" s="20"/>
      <c r="K31" s="31" t="s">
        <v>1</v>
      </c>
      <c r="L31" s="31" t="s">
        <v>7</v>
      </c>
      <c r="M31" s="31" t="s">
        <v>8</v>
      </c>
      <c r="N31" s="31" t="s">
        <v>7</v>
      </c>
      <c r="O31" s="31" t="s">
        <v>9</v>
      </c>
      <c r="P31" s="31" t="s">
        <v>11</v>
      </c>
      <c r="Q31" s="31" t="s">
        <v>11</v>
      </c>
      <c r="S31" s="5"/>
      <c r="U31" s="18"/>
    </row>
    <row r="32" spans="1:42" ht="15" customHeight="1" x14ac:dyDescent="0.2">
      <c r="C32" s="36">
        <f ca="1">IF(DAY(heinäsu1)=1,"",IF(AND(YEAR(heinäsu1+1)=Kalenterivuosi,MONTH(heinäsu1+1)=7),heinäsu1+1,""))</f>
        <v>43647</v>
      </c>
      <c r="D32" s="36">
        <f ca="1">IF(DAY(heinäsu1)=1,"",IF(AND(YEAR(heinäsu1+2)=Kalenterivuosi,MONTH(heinäsu1+2)=7),heinäsu1+2,""))</f>
        <v>43648</v>
      </c>
      <c r="E32" s="36">
        <f ca="1">IF(DAY(heinäsu1)=1,"",IF(AND(YEAR(heinäsu1+3)=Kalenterivuosi,MONTH(heinäsu1+3)=7),heinäsu1+3,""))</f>
        <v>43649</v>
      </c>
      <c r="F32" s="36">
        <f ca="1">IF(DAY(heinäsu1)=1,"",IF(AND(YEAR(heinäsu1+4)=Kalenterivuosi,MONTH(heinäsu1+4)=7),heinäsu1+4,""))</f>
        <v>43650</v>
      </c>
      <c r="G32" s="36">
        <f ca="1">IF(DAY(heinäsu1)=1,"",IF(AND(YEAR(heinäsu1+5)=Kalenterivuosi,MONTH(heinäsu1+5)=7),heinäsu1+5,""))</f>
        <v>43651</v>
      </c>
      <c r="H32" s="36">
        <f ca="1">IF(DAY(heinäsu1)=1,"",IF(AND(YEAR(heinäsu1+6)=Kalenterivuosi,MONTH(heinäsu1+6)=7),heinäsu1+6,""))</f>
        <v>43652</v>
      </c>
      <c r="I32" s="36">
        <f ca="1">IF(DAY(heinäsu1)=1,IF(AND(YEAR(heinäsu1)=Kalenterivuosi,MONTH(heinäsu1)=7),heinäsu1,""),IF(AND(YEAR(heinäsu1+7)=Kalenterivuosi,MONTH(heinäsu1+7)=7),heinäsu1+7,""))</f>
        <v>43653</v>
      </c>
      <c r="J32" s="21"/>
      <c r="K32" s="36" t="str">
        <f ca="1">IF(DAY(elosu1)=1,"",IF(AND(YEAR(elosu1+1)=Kalenterivuosi,MONTH(elosu1+1)=8),elosu1+1,""))</f>
        <v/>
      </c>
      <c r="L32" s="36" t="str">
        <f ca="1">IF(DAY(elosu1)=1,"",IF(AND(YEAR(elosu1+2)=Kalenterivuosi,MONTH(elosu1+2)=8),elosu1+2,""))</f>
        <v/>
      </c>
      <c r="M32" s="36" t="str">
        <f ca="1">IF(DAY(elosu1)=1,"",IF(AND(YEAR(elosu1+3)=Kalenterivuosi,MONTH(elosu1+3)=8),elosu1+3,""))</f>
        <v/>
      </c>
      <c r="N32" s="36">
        <f ca="1">IF(DAY(elosu1)=1,"",IF(AND(YEAR(elosu1+4)=Kalenterivuosi,MONTH(elosu1+4)=8),elosu1+4,""))</f>
        <v>43678</v>
      </c>
      <c r="O32" s="36">
        <f ca="1">IF(DAY(elosu1)=1,"",IF(AND(YEAR(elosu1+5)=Kalenterivuosi,MONTH(elosu1+5)=8),elosu1+5,""))</f>
        <v>43679</v>
      </c>
      <c r="P32" s="36">
        <f ca="1">IF(DAY(elosu1)=1,"",IF(AND(YEAR(elosu1+6)=Kalenterivuosi,MONTH(elosu1+6)=8),elosu1+6,""))</f>
        <v>43680</v>
      </c>
      <c r="Q32" s="36">
        <f ca="1">IF(DAY(elosu1)=1,IF(AND(YEAR(elosu1)=Kalenterivuosi,MONTH(elosu1)=8),elosu1,""),IF(AND(YEAR(elosu1+7)=Kalenterivuosi,MONTH(elosu1+7)=8),elosu1+7,""))</f>
        <v>43681</v>
      </c>
      <c r="S32" s="5"/>
      <c r="U32" s="11"/>
    </row>
    <row r="33" spans="3:21" ht="15" customHeight="1" x14ac:dyDescent="0.2">
      <c r="C33" s="36">
        <f ca="1">IF(DAY(heinäsu1)=1,IF(AND(YEAR(heinäsu1+1)=Kalenterivuosi,MONTH(heinäsu1+1)=7),heinäsu1+1,""),IF(AND(YEAR(heinäsu1+8)=Kalenterivuosi,MONTH(heinäsu1+8)=7),heinäsu1+8,""))</f>
        <v>43654</v>
      </c>
      <c r="D33" s="36">
        <f ca="1">IF(DAY(heinäsu1)=1,IF(AND(YEAR(heinäsu1+2)=Kalenterivuosi,MONTH(heinäsu1+2)=7),heinäsu1+2,""),IF(AND(YEAR(heinäsu1+9)=Kalenterivuosi,MONTH(heinäsu1+9)=7),heinäsu1+9,""))</f>
        <v>43655</v>
      </c>
      <c r="E33" s="36">
        <f ca="1">IF(DAY(heinäsu1)=1,IF(AND(YEAR(heinäsu1+3)=Kalenterivuosi,MONTH(heinäsu1+3)=7),heinäsu1+3,""),IF(AND(YEAR(heinäsu1+10)=Kalenterivuosi,MONTH(heinäsu1+10)=7),heinäsu1+10,""))</f>
        <v>43656</v>
      </c>
      <c r="F33" s="36">
        <f ca="1">IF(DAY(heinäsu1)=1,IF(AND(YEAR(heinäsu1+4)=Kalenterivuosi,MONTH(heinäsu1+4)=7),heinäsu1+4,""),IF(AND(YEAR(heinäsu1+11)=Kalenterivuosi,MONTH(heinäsu1+11)=7),heinäsu1+11,""))</f>
        <v>43657</v>
      </c>
      <c r="G33" s="36">
        <f ca="1">IF(DAY(heinäsu1)=1,IF(AND(YEAR(heinäsu1+5)=Kalenterivuosi,MONTH(heinäsu1+5)=7),heinäsu1+5,""),IF(AND(YEAR(heinäsu1+12)=Kalenterivuosi,MONTH(heinäsu1+12)=7),heinäsu1+12,""))</f>
        <v>43658</v>
      </c>
      <c r="H33" s="36">
        <f ca="1">IF(DAY(heinäsu1)=1,IF(AND(YEAR(heinäsu1+6)=Kalenterivuosi,MONTH(heinäsu1+6)=7),heinäsu1+6,""),IF(AND(YEAR(heinäsu1+13)=Kalenterivuosi,MONTH(heinäsu1+13)=7),heinäsu1+13,""))</f>
        <v>43659</v>
      </c>
      <c r="I33" s="36">
        <f ca="1">IF(DAY(heinäsu1)=1,IF(AND(YEAR(heinäsu1+7)=Kalenterivuosi,MONTH(heinäsu1+7)=7),heinäsu1+7,""),IF(AND(YEAR(heinäsu1+14)=Kalenterivuosi,MONTH(heinäsu1+14)=7),heinäsu1+14,""))</f>
        <v>43660</v>
      </c>
      <c r="J33" s="22"/>
      <c r="K33" s="36">
        <f ca="1">IF(DAY(elosu1)=1,IF(AND(YEAR(elosu1+1)=Kalenterivuosi,MONTH(elosu1+1)=8),elosu1+1,""),IF(AND(YEAR(elosu1+8)=Kalenterivuosi,MONTH(elosu1+8)=8),elosu1+8,""))</f>
        <v>43682</v>
      </c>
      <c r="L33" s="36">
        <f ca="1">IF(DAY(elosu1)=1,IF(AND(YEAR(elosu1+2)=Kalenterivuosi,MONTH(elosu1+2)=8),elosu1+2,""),IF(AND(YEAR(elosu1+9)=Kalenterivuosi,MONTH(elosu1+9)=8),elosu1+9,""))</f>
        <v>43683</v>
      </c>
      <c r="M33" s="36">
        <f ca="1">IF(DAY(elosu1)=1,IF(AND(YEAR(elosu1+3)=Kalenterivuosi,MONTH(elosu1+3)=8),elosu1+3,""),IF(AND(YEAR(elosu1+10)=Kalenterivuosi,MONTH(elosu1+10)=8),elosu1+10,""))</f>
        <v>43684</v>
      </c>
      <c r="N33" s="36">
        <f ca="1">IF(DAY(elosu1)=1,IF(AND(YEAR(elosu1+4)=Kalenterivuosi,MONTH(elosu1+4)=8),elosu1+4,""),IF(AND(YEAR(elosu1+11)=Kalenterivuosi,MONTH(elosu1+11)=8),elosu1+11,""))</f>
        <v>43685</v>
      </c>
      <c r="O33" s="36">
        <f ca="1">IF(DAY(elosu1)=1,IF(AND(YEAR(elosu1+5)=Kalenterivuosi,MONTH(elosu1+5)=8),elosu1+5,""),IF(AND(YEAR(elosu1+12)=Kalenterivuosi,MONTH(elosu1+12)=8),elosu1+12,""))</f>
        <v>43686</v>
      </c>
      <c r="P33" s="36">
        <f ca="1">IF(DAY(elosu1)=1,IF(AND(YEAR(elosu1+6)=Kalenterivuosi,MONTH(elosu1+6)=8),elosu1+6,""),IF(AND(YEAR(elosu1+13)=Kalenterivuosi,MONTH(elosu1+13)=8),elosu1+13,""))</f>
        <v>43687</v>
      </c>
      <c r="Q33" s="36">
        <f ca="1">IF(DAY(elosu1)=1,IF(AND(YEAR(elosu1+7)=Kalenterivuosi,MONTH(elosu1+7)=8),elosu1+7,""),IF(AND(YEAR(elosu1+14)=Kalenterivuosi,MONTH(elosu1+14)=8),elosu1+14,""))</f>
        <v>43688</v>
      </c>
      <c r="S33" s="5"/>
      <c r="U33" s="12"/>
    </row>
    <row r="34" spans="3:21" ht="15" customHeight="1" x14ac:dyDescent="0.2">
      <c r="C34" s="36">
        <f ca="1">IF(DAY(heinäsu1)=1,IF(AND(YEAR(heinäsu1+8)=Kalenterivuosi,MONTH(heinäsu1+8)=7),heinäsu1+8,""),IF(AND(YEAR(heinäsu1+15)=Kalenterivuosi,MONTH(heinäsu1+15)=7),heinäsu1+15,""))</f>
        <v>43661</v>
      </c>
      <c r="D34" s="36">
        <f ca="1">IF(DAY(heinäsu1)=1,IF(AND(YEAR(heinäsu1+9)=Kalenterivuosi,MONTH(heinäsu1+9)=7),heinäsu1+9,""),IF(AND(YEAR(heinäsu1+16)=Kalenterivuosi,MONTH(heinäsu1+16)=7),heinäsu1+16,""))</f>
        <v>43662</v>
      </c>
      <c r="E34" s="36">
        <f ca="1">IF(DAY(heinäsu1)=1,IF(AND(YEAR(heinäsu1+10)=Kalenterivuosi,MONTH(heinäsu1+10)=7),heinäsu1+10,""),IF(AND(YEAR(heinäsu1+17)=Kalenterivuosi,MONTH(heinäsu1+17)=7),heinäsu1+17,""))</f>
        <v>43663</v>
      </c>
      <c r="F34" s="36">
        <f ca="1">IF(DAY(heinäsu1)=1,IF(AND(YEAR(heinäsu1+11)=Kalenterivuosi,MONTH(heinäsu1+11)=7),heinäsu1+11,""),IF(AND(YEAR(heinäsu1+18)=Kalenterivuosi,MONTH(heinäsu1+18)=7),heinäsu1+18,""))</f>
        <v>43664</v>
      </c>
      <c r="G34" s="36">
        <f ca="1">IF(DAY(heinäsu1)=1,IF(AND(YEAR(heinäsu1+12)=Kalenterivuosi,MONTH(heinäsu1+12)=7),heinäsu1+12,""),IF(AND(YEAR(heinäsu1+19)=Kalenterivuosi,MONTH(heinäsu1+19)=7),heinäsu1+19,""))</f>
        <v>43665</v>
      </c>
      <c r="H34" s="36">
        <f ca="1">IF(DAY(heinäsu1)=1,IF(AND(YEAR(heinäsu1+13)=Kalenterivuosi,MONTH(heinäsu1+13)=7),heinäsu1+13,""),IF(AND(YEAR(heinäsu1+20)=Kalenterivuosi,MONTH(heinäsu1+20)=7),heinäsu1+20,""))</f>
        <v>43666</v>
      </c>
      <c r="I34" s="36">
        <f ca="1">IF(DAY(heinäsu1)=1,IF(AND(YEAR(heinäsu1+14)=Kalenterivuosi,MONTH(heinäsu1+14)=7),heinäsu1+14,""),IF(AND(YEAR(heinäsu1+21)=Kalenterivuosi,MONTH(heinäsu1+21)=7),heinäsu1+21,""))</f>
        <v>43667</v>
      </c>
      <c r="J34" s="22"/>
      <c r="K34" s="36">
        <f ca="1">IF(DAY(elosu1)=1,IF(AND(YEAR(elosu1+8)=Kalenterivuosi,MONTH(elosu1+8)=8),elosu1+8,""),IF(AND(YEAR(elosu1+15)=Kalenterivuosi,MONTH(elosu1+15)=8),elosu1+15,""))</f>
        <v>43689</v>
      </c>
      <c r="L34" s="36">
        <f ca="1">IF(DAY(elosu1)=1,IF(AND(YEAR(elosu1+9)=Kalenterivuosi,MONTH(elosu1+9)=8),elosu1+9,""),IF(AND(YEAR(elosu1+16)=Kalenterivuosi,MONTH(elosu1+16)=8),elosu1+16,""))</f>
        <v>43690</v>
      </c>
      <c r="M34" s="36">
        <f ca="1">IF(DAY(elosu1)=1,IF(AND(YEAR(elosu1+10)=Kalenterivuosi,MONTH(elosu1+10)=8),elosu1+10,""),IF(AND(YEAR(elosu1+17)=Kalenterivuosi,MONTH(elosu1+17)=8),elosu1+17,""))</f>
        <v>43691</v>
      </c>
      <c r="N34" s="36">
        <f ca="1">IF(DAY(elosu1)=1,IF(AND(YEAR(elosu1+11)=Kalenterivuosi,MONTH(elosu1+11)=8),elosu1+11,""),IF(AND(YEAR(elosu1+18)=Kalenterivuosi,MONTH(elosu1+18)=8),elosu1+18,""))</f>
        <v>43692</v>
      </c>
      <c r="O34" s="36">
        <f ca="1">IF(DAY(elosu1)=1,IF(AND(YEAR(elosu1+12)=Kalenterivuosi,MONTH(elosu1+12)=8),elosu1+12,""),IF(AND(YEAR(elosu1+19)=Kalenterivuosi,MONTH(elosu1+19)=8),elosu1+19,""))</f>
        <v>43693</v>
      </c>
      <c r="P34" s="36">
        <f ca="1">IF(DAY(elosu1)=1,IF(AND(YEAR(elosu1+13)=Kalenterivuosi,MONTH(elosu1+13)=8),elosu1+13,""),IF(AND(YEAR(elosu1+20)=Kalenterivuosi,MONTH(elosu1+20)=8),elosu1+20,""))</f>
        <v>43694</v>
      </c>
      <c r="Q34" s="36">
        <f ca="1">IF(DAY(elosu1)=1,IF(AND(YEAR(elosu1+14)=Kalenterivuosi,MONTH(elosu1+14)=8),elosu1+14,""),IF(AND(YEAR(elosu1+21)=Kalenterivuosi,MONTH(elosu1+21)=8),elosu1+21,""))</f>
        <v>43695</v>
      </c>
      <c r="S34" s="5"/>
      <c r="U34" s="18"/>
    </row>
    <row r="35" spans="3:21" ht="15" customHeight="1" x14ac:dyDescent="0.2">
      <c r="C35" s="36">
        <f ca="1">IF(DAY(heinäsu1)=1,IF(AND(YEAR(heinäsu1+15)=Kalenterivuosi,MONTH(heinäsu1+15)=7),heinäsu1+15,""),IF(AND(YEAR(heinäsu1+22)=Kalenterivuosi,MONTH(heinäsu1+22)=7),heinäsu1+22,""))</f>
        <v>43668</v>
      </c>
      <c r="D35" s="36">
        <f ca="1">IF(DAY(heinäsu1)=1,IF(AND(YEAR(heinäsu1+16)=Kalenterivuosi,MONTH(heinäsu1+16)=7),heinäsu1+16,""),IF(AND(YEAR(heinäsu1+23)=Kalenterivuosi,MONTH(heinäsu1+23)=7),heinäsu1+23,""))</f>
        <v>43669</v>
      </c>
      <c r="E35" s="36">
        <f ca="1">IF(DAY(heinäsu1)=1,IF(AND(YEAR(heinäsu1+17)=Kalenterivuosi,MONTH(heinäsu1+17)=7),heinäsu1+17,""),IF(AND(YEAR(heinäsu1+24)=Kalenterivuosi,MONTH(heinäsu1+24)=7),heinäsu1+24,""))</f>
        <v>43670</v>
      </c>
      <c r="F35" s="36">
        <f ca="1">IF(DAY(heinäsu1)=1,IF(AND(YEAR(heinäsu1+18)=Kalenterivuosi,MONTH(heinäsu1+18)=7),heinäsu1+18,""),IF(AND(YEAR(heinäsu1+25)=Kalenterivuosi,MONTH(heinäsu1+25)=7),heinäsu1+25,""))</f>
        <v>43671</v>
      </c>
      <c r="G35" s="36">
        <f ca="1">IF(DAY(heinäsu1)=1,IF(AND(YEAR(heinäsu1+19)=Kalenterivuosi,MONTH(heinäsu1+19)=7),heinäsu1+19,""),IF(AND(YEAR(heinäsu1+26)=Kalenterivuosi,MONTH(heinäsu1+26)=7),heinäsu1+26,""))</f>
        <v>43672</v>
      </c>
      <c r="H35" s="36">
        <f ca="1">IF(DAY(heinäsu1)=1,IF(AND(YEAR(heinäsu1+20)=Kalenterivuosi,MONTH(heinäsu1+20)=7),heinäsu1+20,""),IF(AND(YEAR(heinäsu1+27)=Kalenterivuosi,MONTH(heinäsu1+27)=7),heinäsu1+27,""))</f>
        <v>43673</v>
      </c>
      <c r="I35" s="36">
        <f ca="1">IF(DAY(heinäsu1)=1,IF(AND(YEAR(heinäsu1+21)=Kalenterivuosi,MONTH(heinäsu1+21)=7),heinäsu1+21,""),IF(AND(YEAR(heinäsu1+28)=Kalenterivuosi,MONTH(heinäsu1+28)=7),heinäsu1+28,""))</f>
        <v>43674</v>
      </c>
      <c r="J35" s="22"/>
      <c r="K35" s="36">
        <f ca="1">IF(DAY(elosu1)=1,IF(AND(YEAR(elosu1+15)=Kalenterivuosi,MONTH(elosu1+15)=8),elosu1+15,""),IF(AND(YEAR(elosu1+22)=Kalenterivuosi,MONTH(elosu1+22)=8),elosu1+22,""))</f>
        <v>43696</v>
      </c>
      <c r="L35" s="36">
        <f ca="1">IF(DAY(elosu1)=1,IF(AND(YEAR(elosu1+16)=Kalenterivuosi,MONTH(elosu1+16)=8),elosu1+16,""),IF(AND(YEAR(elosu1+23)=Kalenterivuosi,MONTH(elosu1+23)=8),elosu1+23,""))</f>
        <v>43697</v>
      </c>
      <c r="M35" s="36">
        <f ca="1">IF(DAY(elosu1)=1,IF(AND(YEAR(elosu1+17)=Kalenterivuosi,MONTH(elosu1+17)=8),elosu1+17,""),IF(AND(YEAR(elosu1+24)=Kalenterivuosi,MONTH(elosu1+24)=8),elosu1+24,""))</f>
        <v>43698</v>
      </c>
      <c r="N35" s="36">
        <f ca="1">IF(DAY(elosu1)=1,IF(AND(YEAR(elosu1+18)=Kalenterivuosi,MONTH(elosu1+18)=8),elosu1+18,""),IF(AND(YEAR(elosu1+25)=Kalenterivuosi,MONTH(elosu1+25)=8),elosu1+25,""))</f>
        <v>43699</v>
      </c>
      <c r="O35" s="36">
        <f ca="1">IF(DAY(elosu1)=1,IF(AND(YEAR(elosu1+19)=Kalenterivuosi,MONTH(elosu1+19)=8),elosu1+19,""),IF(AND(YEAR(elosu1+26)=Kalenterivuosi,MONTH(elosu1+26)=8),elosu1+26,""))</f>
        <v>43700</v>
      </c>
      <c r="P35" s="36">
        <f ca="1">IF(DAY(elosu1)=1,IF(AND(YEAR(elosu1+20)=Kalenterivuosi,MONTH(elosu1+20)=8),elosu1+20,""),IF(AND(YEAR(elosu1+27)=Kalenterivuosi,MONTH(elosu1+27)=8),elosu1+27,""))</f>
        <v>43701</v>
      </c>
      <c r="Q35" s="36">
        <f ca="1">IF(DAY(elosu1)=1,IF(AND(YEAR(elosu1+21)=Kalenterivuosi,MONTH(elosu1+21)=8),elosu1+21,""),IF(AND(YEAR(elosu1+28)=Kalenterivuosi,MONTH(elosu1+28)=8),elosu1+28,""))</f>
        <v>43702</v>
      </c>
      <c r="S35" s="5"/>
      <c r="U35" s="11"/>
    </row>
    <row r="36" spans="3:21" ht="15" customHeight="1" x14ac:dyDescent="0.2">
      <c r="C36" s="36">
        <f ca="1">IF(DAY(heinäsu1)=1,IF(AND(YEAR(heinäsu1+22)=Kalenterivuosi,MONTH(heinäsu1+22)=7),heinäsu1+22,""),IF(AND(YEAR(heinäsu1+29)=Kalenterivuosi,MONTH(heinäsu1+29)=7),heinäsu1+29,""))</f>
        <v>43675</v>
      </c>
      <c r="D36" s="36">
        <f ca="1">IF(DAY(heinäsu1)=1,IF(AND(YEAR(heinäsu1+23)=Kalenterivuosi,MONTH(heinäsu1+23)=7),heinäsu1+23,""),IF(AND(YEAR(heinäsu1+30)=Kalenterivuosi,MONTH(heinäsu1+30)=7),heinäsu1+30,""))</f>
        <v>43676</v>
      </c>
      <c r="E36" s="36">
        <f ca="1">IF(DAY(heinäsu1)=1,IF(AND(YEAR(heinäsu1+24)=Kalenterivuosi,MONTH(heinäsu1+24)=7),heinäsu1+24,""),IF(AND(YEAR(heinäsu1+31)=Kalenterivuosi,MONTH(heinäsu1+31)=7),heinäsu1+31,""))</f>
        <v>43677</v>
      </c>
      <c r="F36" s="36" t="str">
        <f ca="1">IF(DAY(heinäsu1)=1,IF(AND(YEAR(heinäsu1+25)=Kalenterivuosi,MONTH(heinäsu1+25)=7),heinäsu1+25,""),IF(AND(YEAR(heinäsu1+32)=Kalenterivuosi,MONTH(heinäsu1+32)=7),heinäsu1+32,""))</f>
        <v/>
      </c>
      <c r="G36" s="36" t="str">
        <f ca="1">IF(DAY(heinäsu1)=1,IF(AND(YEAR(heinäsu1+26)=Kalenterivuosi,MONTH(heinäsu1+26)=7),heinäsu1+26,""),IF(AND(YEAR(heinäsu1+33)=Kalenterivuosi,MONTH(heinäsu1+33)=7),heinäsu1+33,""))</f>
        <v/>
      </c>
      <c r="H36" s="36" t="str">
        <f ca="1">IF(DAY(heinäsu1)=1,IF(AND(YEAR(heinäsu1+27)=Kalenterivuosi,MONTH(heinäsu1+27)=7),heinäsu1+27,""),IF(AND(YEAR(heinäsu1+34)=Kalenterivuosi,MONTH(heinäsu1+34)=7),heinäsu1+34,""))</f>
        <v/>
      </c>
      <c r="I36" s="36" t="str">
        <f ca="1">IF(DAY(heinäsu1)=1,IF(AND(YEAR(heinäsu1+28)=Kalenterivuosi,MONTH(heinäsu1+28)=7),heinäsu1+28,""),IF(AND(YEAR(heinäsu1+35)=Kalenterivuosi,MONTH(heinäsu1+35)=7),heinäsu1+35,""))</f>
        <v/>
      </c>
      <c r="J36" s="22"/>
      <c r="K36" s="36">
        <f ca="1">IF(DAY(elosu1)=1,IF(AND(YEAR(elosu1+22)=Kalenterivuosi,MONTH(elosu1+22)=8),elosu1+22,""),IF(AND(YEAR(elosu1+29)=Kalenterivuosi,MONTH(elosu1+29)=8),elosu1+29,""))</f>
        <v>43703</v>
      </c>
      <c r="L36" s="36">
        <f ca="1">IF(DAY(elosu1)=1,IF(AND(YEAR(elosu1+23)=Kalenterivuosi,MONTH(elosu1+23)=8),elosu1+23,""),IF(AND(YEAR(elosu1+30)=Kalenterivuosi,MONTH(elosu1+30)=8),elosu1+30,""))</f>
        <v>43704</v>
      </c>
      <c r="M36" s="36">
        <f ca="1">IF(DAY(elosu1)=1,IF(AND(YEAR(elosu1+24)=Kalenterivuosi,MONTH(elosu1+24)=8),elosu1+24,""),IF(AND(YEAR(elosu1+31)=Kalenterivuosi,MONTH(elosu1+31)=8),elosu1+31,""))</f>
        <v>43705</v>
      </c>
      <c r="N36" s="36">
        <f ca="1">IF(DAY(elosu1)=1,IF(AND(YEAR(elosu1+25)=Kalenterivuosi,MONTH(elosu1+25)=8),elosu1+25,""),IF(AND(YEAR(elosu1+32)=Kalenterivuosi,MONTH(elosu1+32)=8),elosu1+32,""))</f>
        <v>43706</v>
      </c>
      <c r="O36" s="36">
        <f ca="1">IF(DAY(elosu1)=1,IF(AND(YEAR(elosu1+26)=Kalenterivuosi,MONTH(elosu1+26)=8),elosu1+26,""),IF(AND(YEAR(elosu1+33)=Kalenterivuosi,MONTH(elosu1+33)=8),elosu1+33,""))</f>
        <v>43707</v>
      </c>
      <c r="P36" s="36">
        <f ca="1">IF(DAY(elosu1)=1,IF(AND(YEAR(elosu1+27)=Kalenterivuosi,MONTH(elosu1+27)=8),elosu1+27,""),IF(AND(YEAR(elosu1+34)=Kalenterivuosi,MONTH(elosu1+34)=8),elosu1+34,""))</f>
        <v>43708</v>
      </c>
      <c r="Q36" s="36" t="str">
        <f ca="1">IF(DAY(elosu1)=1,IF(AND(YEAR(elosu1+28)=Kalenterivuosi,MONTH(elosu1+28)=8),elosu1+28,""),IF(AND(YEAR(elosu1+35)=Kalenterivuosi,MONTH(elosu1+35)=8),elosu1+35,""))</f>
        <v/>
      </c>
      <c r="S36" s="5"/>
      <c r="U36" s="12"/>
    </row>
    <row r="37" spans="3:21" ht="15" customHeight="1" x14ac:dyDescent="0.2">
      <c r="C37" s="36" t="str">
        <f ca="1">IF(DAY(heinäsu1)=1,IF(AND(YEAR(heinäsu1+29)=Kalenterivuosi,MONTH(heinäsu1+29)=7),heinäsu1+29,""),IF(AND(YEAR(heinäsu1+36)=Kalenterivuosi,MONTH(heinäsu1+36)=7),heinäsu1+36,""))</f>
        <v/>
      </c>
      <c r="D37" s="36" t="str">
        <f ca="1">IF(DAY(heinäsu1)=1,IF(AND(YEAR(heinäsu1+30)=Kalenterivuosi,MONTH(heinäsu1+30)=7),heinäsu1+30,""),IF(AND(YEAR(heinäsu1+37)=Kalenterivuosi,MONTH(heinäsu1+37)=7),heinäsu1+37,""))</f>
        <v/>
      </c>
      <c r="E37" s="36" t="str">
        <f ca="1">IF(DAY(heinäsu1)=1,IF(AND(YEAR(heinäsu1+31)=Kalenterivuosi,MONTH(heinäsu1+31)=7),heinäsu1+31,""),IF(AND(YEAR(heinäsu1+38)=Kalenterivuosi,MONTH(heinäsu1+38)=7),heinäsu1+38,""))</f>
        <v/>
      </c>
      <c r="F37" s="36" t="str">
        <f ca="1">IF(DAY(heinäsu1)=1,IF(AND(YEAR(heinäsu1+32)=Kalenterivuosi,MONTH(heinäsu1+32)=7),heinäsu1+32,""),IF(AND(YEAR(heinäsu1+39)=Kalenterivuosi,MONTH(heinäsu1+39)=7),heinäsu1+39,""))</f>
        <v/>
      </c>
      <c r="G37" s="36" t="str">
        <f ca="1">IF(DAY(heinäsu1)=1,IF(AND(YEAR(heinäsu1+33)=Kalenterivuosi,MONTH(heinäsu1+33)=7),heinäsu1+33,""),IF(AND(YEAR(heinäsu1+40)=Kalenterivuosi,MONTH(heinäsu1+40)=7),heinäsu1+40,""))</f>
        <v/>
      </c>
      <c r="H37" s="36" t="str">
        <f ca="1">IF(DAY(heinäsu1)=1,IF(AND(YEAR(heinäsu1+34)=Kalenterivuosi,MONTH(heinäsu1+34)=7),heinäsu1+34,""),IF(AND(YEAR(heinäsu1+41)=Kalenterivuosi,MONTH(heinäsu1+41)=7),heinäsu1+41,""))</f>
        <v/>
      </c>
      <c r="I37" s="36" t="str">
        <f ca="1">IF(DAY(heinäsu1)=1,IF(AND(YEAR(heinäsu1+35)=Kalenterivuosi,MONTH(heinäsu1+35)=7),heinäsu1+35,""),IF(AND(YEAR(heinäsu1+42)=Kalenterivuosi,MONTH(heinäsu1+42)=7),heinäsu1+42,""))</f>
        <v/>
      </c>
      <c r="J37" s="22"/>
      <c r="K37" s="36" t="str">
        <f ca="1">IF(DAY(elosu1)=1,IF(AND(YEAR(elosu1+29)=Kalenterivuosi,MONTH(elosu1+29)=8),elosu1+29,""),IF(AND(YEAR(elosu1+36)=Kalenterivuosi,MONTH(elosu1+36)=8),elosu1+36,""))</f>
        <v/>
      </c>
      <c r="L37" s="36" t="str">
        <f ca="1">IF(DAY(elosu1)=1,IF(AND(YEAR(elosu1+30)=Kalenterivuosi,MONTH(elosu1+30)=8),elosu1+30,""),IF(AND(YEAR(elosu1+37)=Kalenterivuosi,MONTH(elosu1+37)=8),elosu1+37,""))</f>
        <v/>
      </c>
      <c r="M37" s="36" t="str">
        <f ca="1">IF(DAY(elosu1)=1,IF(AND(YEAR(elosu1+31)=Kalenterivuosi,MONTH(elosu1+31)=8),elosu1+31,""),IF(AND(YEAR(elosu1+38)=Kalenterivuosi,MONTH(elosu1+38)=8),elosu1+38,""))</f>
        <v/>
      </c>
      <c r="N37" s="36" t="str">
        <f ca="1">IF(DAY(elosu1)=1,IF(AND(YEAR(elosu1+32)=Kalenterivuosi,MONTH(elosu1+32)=8),elosu1+32,""),IF(AND(YEAR(elosu1+39)=Kalenterivuosi,MONTH(elosu1+39)=8),elosu1+39,""))</f>
        <v/>
      </c>
      <c r="O37" s="36" t="str">
        <f ca="1">IF(DAY(elosu1)=1,IF(AND(YEAR(elosu1+33)=Kalenterivuosi,MONTH(elosu1+33)=8),elosu1+33,""),IF(AND(YEAR(elosu1+40)=Kalenterivuosi,MONTH(elosu1+40)=8),elosu1+40,""))</f>
        <v/>
      </c>
      <c r="P37" s="36" t="str">
        <f ca="1">IF(DAY(elosu1)=1,IF(AND(YEAR(elosu1+34)=Kalenterivuosi,MONTH(elosu1+34)=8),elosu1+34,""),IF(AND(YEAR(elosu1+41)=Kalenterivuosi,MONTH(elosu1+41)=8),elosu1+41,""))</f>
        <v/>
      </c>
      <c r="Q37" s="36" t="str">
        <f ca="1">IF(DAY(elosu1)=1,IF(AND(YEAR(elosu1+35)=Kalenterivuosi,MONTH(elosu1+35)=8),elosu1+35,""),IF(AND(YEAR(elosu1+42)=Kalenterivuosi,MONTH(elosu1+42)=8),elosu1+42,""))</f>
        <v/>
      </c>
      <c r="S37" s="5"/>
      <c r="U37" s="18"/>
    </row>
    <row r="38" spans="3:21" ht="15" customHeight="1" x14ac:dyDescent="0.2">
      <c r="C38" s="20"/>
      <c r="D38" s="20"/>
      <c r="E38" s="20"/>
      <c r="F38" s="20"/>
      <c r="G38" s="20"/>
      <c r="H38" s="20"/>
      <c r="I38" s="20"/>
      <c r="J38" s="22"/>
      <c r="K38" s="20"/>
      <c r="L38" s="20"/>
      <c r="M38" s="20"/>
      <c r="N38" s="20"/>
      <c r="O38" s="20"/>
      <c r="P38" s="20"/>
      <c r="Q38" s="20"/>
      <c r="R38" s="22"/>
      <c r="S38" s="5"/>
      <c r="U38" s="11"/>
    </row>
    <row r="39" spans="3:21" ht="15" customHeight="1" x14ac:dyDescent="0.25">
      <c r="C39" s="4" t="s">
        <v>5</v>
      </c>
      <c r="D39" s="3"/>
      <c r="E39" s="3"/>
      <c r="F39" s="3"/>
      <c r="G39" s="3"/>
      <c r="H39" s="3"/>
      <c r="I39" s="3"/>
      <c r="J39" s="22"/>
      <c r="K39" s="4" t="s">
        <v>16</v>
      </c>
      <c r="L39" s="3"/>
      <c r="M39" s="3"/>
      <c r="N39" s="3"/>
      <c r="O39" s="3"/>
      <c r="P39" s="3"/>
      <c r="Q39" s="3"/>
      <c r="S39" s="5"/>
      <c r="U39" s="12"/>
    </row>
    <row r="40" spans="3:21" ht="15" customHeight="1" x14ac:dyDescent="0.2">
      <c r="C40" s="32" t="s">
        <v>1</v>
      </c>
      <c r="D40" s="32" t="s">
        <v>7</v>
      </c>
      <c r="E40" s="32" t="s">
        <v>8</v>
      </c>
      <c r="F40" s="32" t="s">
        <v>7</v>
      </c>
      <c r="G40" s="32" t="s">
        <v>9</v>
      </c>
      <c r="H40" s="32" t="s">
        <v>11</v>
      </c>
      <c r="I40" s="32" t="s">
        <v>11</v>
      </c>
      <c r="J40" s="22"/>
      <c r="K40" s="33" t="s">
        <v>1</v>
      </c>
      <c r="L40" s="33" t="s">
        <v>7</v>
      </c>
      <c r="M40" s="33" t="s">
        <v>8</v>
      </c>
      <c r="N40" s="33" t="s">
        <v>7</v>
      </c>
      <c r="O40" s="33" t="s">
        <v>9</v>
      </c>
      <c r="P40" s="33" t="s">
        <v>11</v>
      </c>
      <c r="Q40" s="33" t="s">
        <v>11</v>
      </c>
      <c r="S40" s="5"/>
      <c r="U40" s="18"/>
    </row>
    <row r="41" spans="3:21" ht="15" customHeight="1" x14ac:dyDescent="0.2">
      <c r="C41" s="36" t="str">
        <f ca="1">IF(DAY(syyssu1)=1,"",IF(AND(YEAR(syyssu1+1)=Kalenterivuosi,MONTH(syyssu1+1)=9),syyssu1+1,""))</f>
        <v/>
      </c>
      <c r="D41" s="36" t="str">
        <f ca="1">IF(DAY(syyssu1)=1,"",IF(AND(YEAR(syyssu1+2)=Kalenterivuosi,MONTH(syyssu1+2)=9),syyssu1+2,""))</f>
        <v/>
      </c>
      <c r="E41" s="36" t="str">
        <f ca="1">IF(DAY(syyssu1)=1,"",IF(AND(YEAR(syyssu1+3)=Kalenterivuosi,MONTH(syyssu1+3)=9),syyssu1+3,""))</f>
        <v/>
      </c>
      <c r="F41" s="36" t="str">
        <f ca="1">IF(DAY(syyssu1)=1,"",IF(AND(YEAR(syyssu1+4)=Kalenterivuosi,MONTH(syyssu1+4)=9),syyssu1+4,""))</f>
        <v/>
      </c>
      <c r="G41" s="36" t="str">
        <f ca="1">IF(DAY(syyssu1)=1,"",IF(AND(YEAR(syyssu1+5)=Kalenterivuosi,MONTH(syyssu1+5)=9),syyssu1+5,""))</f>
        <v/>
      </c>
      <c r="H41" s="36" t="str">
        <f ca="1">IF(DAY(syyssu1)=1,"",IF(AND(YEAR(syyssu1+6)=Kalenterivuosi,MONTH(syyssu1+6)=9),syyssu1+6,""))</f>
        <v/>
      </c>
      <c r="I41" s="36">
        <f ca="1">IF(DAY(syyssu1)=1,IF(AND(YEAR(syyssu1)=Kalenterivuosi,MONTH(syyssu1)=9),syyssu1,""),IF(AND(YEAR(syyssu1+7)=Kalenterivuosi,MONTH(syyssu1+7)=9),syyssu1+7,""))</f>
        <v>43709</v>
      </c>
      <c r="J41" s="22"/>
      <c r="K41" s="36" t="str">
        <f ca="1">IF(DAY(lokasu1)=1,"",IF(AND(YEAR(lokasu1+1)=Kalenterivuosi,MONTH(lokasu1+1)=10),lokasu1+1,""))</f>
        <v/>
      </c>
      <c r="L41" s="36">
        <f ca="1">IF(DAY(lokasu1)=1,"",IF(AND(YEAR(lokasu1+2)=Kalenterivuosi,MONTH(lokasu1+2)=10),lokasu1+2,""))</f>
        <v>43739</v>
      </c>
      <c r="M41" s="36">
        <f ca="1">IF(DAY(lokasu1)=1,"",IF(AND(YEAR(lokasu1+3)=Kalenterivuosi,MONTH(lokasu1+3)=10),lokasu1+3,""))</f>
        <v>43740</v>
      </c>
      <c r="N41" s="36">
        <f ca="1">IF(DAY(lokasu1)=1,"",IF(AND(YEAR(lokasu1+4)=Kalenterivuosi,MONTH(lokasu1+4)=10),lokasu1+4,""))</f>
        <v>43741</v>
      </c>
      <c r="O41" s="36">
        <f ca="1">IF(DAY(lokasu1)=1,"",IF(AND(YEAR(lokasu1+5)=Kalenterivuosi,MONTH(lokasu1+5)=10),lokasu1+5,""))</f>
        <v>43742</v>
      </c>
      <c r="P41" s="36">
        <f ca="1">IF(DAY(lokasu1)=1,"",IF(AND(YEAR(lokasu1+6)=Kalenterivuosi,MONTH(lokasu1+6)=10),lokasu1+6,""))</f>
        <v>43743</v>
      </c>
      <c r="Q41" s="36">
        <f ca="1">IF(DAY(lokasu1)=1,IF(AND(YEAR(lokasu1)=Kalenterivuosi,MONTH(lokasu1)=10),lokasu1,""),IF(AND(YEAR(lokasu1+7)=Kalenterivuosi,MONTH(lokasu1+7)=10),lokasu1+7,""))</f>
        <v>43744</v>
      </c>
      <c r="S41" s="5"/>
      <c r="U41" s="11"/>
    </row>
    <row r="42" spans="3:21" ht="15" customHeight="1" x14ac:dyDescent="0.2">
      <c r="C42" s="36">
        <f ca="1">IF(DAY(syyssu1)=1,IF(AND(YEAR(syyssu1+1)=Kalenterivuosi,MONTH(syyssu1+1)=9),syyssu1+1,""),IF(AND(YEAR(syyssu1+8)=Kalenterivuosi,MONTH(syyssu1+8)=9),syyssu1+8,""))</f>
        <v>43710</v>
      </c>
      <c r="D42" s="36">
        <f ca="1">IF(DAY(syyssu1)=1,IF(AND(YEAR(syyssu1+2)=Kalenterivuosi,MONTH(syyssu1+2)=9),syyssu1+2,""),IF(AND(YEAR(syyssu1+9)=Kalenterivuosi,MONTH(syyssu1+9)=9),syyssu1+9,""))</f>
        <v>43711</v>
      </c>
      <c r="E42" s="36">
        <f ca="1">IF(DAY(syyssu1)=1,IF(AND(YEAR(syyssu1+3)=Kalenterivuosi,MONTH(syyssu1+3)=9),syyssu1+3,""),IF(AND(YEAR(syyssu1+10)=Kalenterivuosi,MONTH(syyssu1+10)=9),syyssu1+10,""))</f>
        <v>43712</v>
      </c>
      <c r="F42" s="36">
        <f ca="1">IF(DAY(syyssu1)=1,IF(AND(YEAR(syyssu1+4)=Kalenterivuosi,MONTH(syyssu1+4)=9),syyssu1+4,""),IF(AND(YEAR(syyssu1+11)=Kalenterivuosi,MONTH(syyssu1+11)=9),syyssu1+11,""))</f>
        <v>43713</v>
      </c>
      <c r="G42" s="36">
        <f ca="1">IF(DAY(syyssu1)=1,IF(AND(YEAR(syyssu1+5)=Kalenterivuosi,MONTH(syyssu1+5)=9),syyssu1+5,""),IF(AND(YEAR(syyssu1+12)=Kalenterivuosi,MONTH(syyssu1+12)=9),syyssu1+12,""))</f>
        <v>43714</v>
      </c>
      <c r="H42" s="36">
        <f ca="1">IF(DAY(syyssu1)=1,IF(AND(YEAR(syyssu1+6)=Kalenterivuosi,MONTH(syyssu1+6)=9),syyssu1+6,""),IF(AND(YEAR(syyssu1+13)=Kalenterivuosi,MONTH(syyssu1+13)=9),syyssu1+13,""))</f>
        <v>43715</v>
      </c>
      <c r="I42" s="36">
        <f ca="1">IF(DAY(syyssu1)=1,IF(AND(YEAR(syyssu1+7)=Kalenterivuosi,MONTH(syyssu1+7)=9),syyssu1+7,""),IF(AND(YEAR(syyssu1+14)=Kalenterivuosi,MONTH(syyssu1+14)=9),syyssu1+14,""))</f>
        <v>43716</v>
      </c>
      <c r="J42" s="22"/>
      <c r="K42" s="36">
        <f ca="1">IF(DAY(lokasu1)=1,IF(AND(YEAR(lokasu1+1)=Kalenterivuosi,MONTH(lokasu1+1)=10),lokasu1+1,""),IF(AND(YEAR(lokasu1+8)=Kalenterivuosi,MONTH(lokasu1+8)=10),lokasu1+8,""))</f>
        <v>43745</v>
      </c>
      <c r="L42" s="36">
        <f ca="1">IF(DAY(lokasu1)=1,IF(AND(YEAR(lokasu1+2)=Kalenterivuosi,MONTH(lokasu1+2)=10),lokasu1+2,""),IF(AND(YEAR(lokasu1+9)=Kalenterivuosi,MONTH(lokasu1+9)=10),lokasu1+9,""))</f>
        <v>43746</v>
      </c>
      <c r="M42" s="36">
        <f ca="1">IF(DAY(lokasu1)=1,IF(AND(YEAR(lokasu1+3)=Kalenterivuosi,MONTH(lokasu1+3)=10),lokasu1+3,""),IF(AND(YEAR(lokasu1+10)=Kalenterivuosi,MONTH(lokasu1+10)=10),lokasu1+10,""))</f>
        <v>43747</v>
      </c>
      <c r="N42" s="36">
        <f ca="1">IF(DAY(lokasu1)=1,IF(AND(YEAR(lokasu1+4)=Kalenterivuosi,MONTH(lokasu1+4)=10),lokasu1+4,""),IF(AND(YEAR(lokasu1+11)=Kalenterivuosi,MONTH(lokasu1+11)=10),lokasu1+11,""))</f>
        <v>43748</v>
      </c>
      <c r="O42" s="36">
        <f ca="1">IF(DAY(lokasu1)=1,IF(AND(YEAR(lokasu1+5)=Kalenterivuosi,MONTH(lokasu1+5)=10),lokasu1+5,""),IF(AND(YEAR(lokasu1+12)=Kalenterivuosi,MONTH(lokasu1+12)=10),lokasu1+12,""))</f>
        <v>43749</v>
      </c>
      <c r="P42" s="36">
        <f ca="1">IF(DAY(lokasu1)=1,IF(AND(YEAR(lokasu1+6)=Kalenterivuosi,MONTH(lokasu1+6)=10),lokasu1+6,""),IF(AND(YEAR(lokasu1+13)=Kalenterivuosi,MONTH(lokasu1+13)=10),lokasu1+13,""))</f>
        <v>43750</v>
      </c>
      <c r="Q42" s="36">
        <f ca="1">IF(DAY(lokasu1)=1,IF(AND(YEAR(lokasu1+7)=Kalenterivuosi,MONTH(lokasu1+7)=10),lokasu1+7,""),IF(AND(YEAR(lokasu1+14)=Kalenterivuosi,MONTH(lokasu1+14)=10),lokasu1+14,""))</f>
        <v>43751</v>
      </c>
      <c r="S42" s="5"/>
      <c r="U42" s="11"/>
    </row>
    <row r="43" spans="3:21" ht="15" customHeight="1" x14ac:dyDescent="0.2">
      <c r="C43" s="36">
        <f ca="1">IF(DAY(syyssu1)=1,IF(AND(YEAR(syyssu1+8)=Kalenterivuosi,MONTH(syyssu1+8)=9),syyssu1+8,""),IF(AND(YEAR(syyssu1+15)=Kalenterivuosi,MONTH(syyssu1+15)=9),syyssu1+15,""))</f>
        <v>43717</v>
      </c>
      <c r="D43" s="36">
        <f ca="1">IF(DAY(syyssu1)=1,IF(AND(YEAR(syyssu1+9)=Kalenterivuosi,MONTH(syyssu1+9)=9),syyssu1+9,""),IF(AND(YEAR(syyssu1+16)=Kalenterivuosi,MONTH(syyssu1+16)=9),syyssu1+16,""))</f>
        <v>43718</v>
      </c>
      <c r="E43" s="36">
        <f ca="1">IF(DAY(syyssu1)=1,IF(AND(YEAR(syyssu1+10)=Kalenterivuosi,MONTH(syyssu1+10)=9),syyssu1+10,""),IF(AND(YEAR(syyssu1+17)=Kalenterivuosi,MONTH(syyssu1+17)=9),syyssu1+17,""))</f>
        <v>43719</v>
      </c>
      <c r="F43" s="36">
        <f ca="1">IF(DAY(syyssu1)=1,IF(AND(YEAR(syyssu1+11)=Kalenterivuosi,MONTH(syyssu1+11)=9),syyssu1+11,""),IF(AND(YEAR(syyssu1+18)=Kalenterivuosi,MONTH(syyssu1+18)=9),syyssu1+18,""))</f>
        <v>43720</v>
      </c>
      <c r="G43" s="36">
        <f ca="1">IF(DAY(syyssu1)=1,IF(AND(YEAR(syyssu1+12)=Kalenterivuosi,MONTH(syyssu1+12)=9),syyssu1+12,""),IF(AND(YEAR(syyssu1+19)=Kalenterivuosi,MONTH(syyssu1+19)=9),syyssu1+19,""))</f>
        <v>43721</v>
      </c>
      <c r="H43" s="36">
        <f ca="1">IF(DAY(syyssu1)=1,IF(AND(YEAR(syyssu1+13)=Kalenterivuosi,MONTH(syyssu1+13)=9),syyssu1+13,""),IF(AND(YEAR(syyssu1+20)=Kalenterivuosi,MONTH(syyssu1+20)=9),syyssu1+20,""))</f>
        <v>43722</v>
      </c>
      <c r="I43" s="36">
        <f ca="1">IF(DAY(syyssu1)=1,IF(AND(YEAR(syyssu1+14)=Kalenterivuosi,MONTH(syyssu1+14)=9),syyssu1+14,""),IF(AND(YEAR(syyssu1+21)=Kalenterivuosi,MONTH(syyssu1+21)=9),syyssu1+21,""))</f>
        <v>43723</v>
      </c>
      <c r="J43" s="22"/>
      <c r="K43" s="36">
        <f ca="1">IF(DAY(lokasu1)=1,IF(AND(YEAR(lokasu1+8)=Kalenterivuosi,MONTH(lokasu1+8)=10),lokasu1+8,""),IF(AND(YEAR(lokasu1+15)=Kalenterivuosi,MONTH(lokasu1+15)=10),lokasu1+15,""))</f>
        <v>43752</v>
      </c>
      <c r="L43" s="36">
        <f ca="1">IF(DAY(lokasu1)=1,IF(AND(YEAR(lokasu1+9)=Kalenterivuosi,MONTH(lokasu1+9)=10),lokasu1+9,""),IF(AND(YEAR(lokasu1+16)=Kalenterivuosi,MONTH(lokasu1+16)=10),lokasu1+16,""))</f>
        <v>43753</v>
      </c>
      <c r="M43" s="36">
        <f ca="1">IF(DAY(lokasu1)=1,IF(AND(YEAR(lokasu1+10)=Kalenterivuosi,MONTH(lokasu1+10)=10),lokasu1+10,""),IF(AND(YEAR(lokasu1+17)=Kalenterivuosi,MONTH(lokasu1+17)=10),lokasu1+17,""))</f>
        <v>43754</v>
      </c>
      <c r="N43" s="36">
        <f ca="1">IF(DAY(lokasu1)=1,IF(AND(YEAR(lokasu1+11)=Kalenterivuosi,MONTH(lokasu1+11)=10),lokasu1+11,""),IF(AND(YEAR(lokasu1+18)=Kalenterivuosi,MONTH(lokasu1+18)=10),lokasu1+18,""))</f>
        <v>43755</v>
      </c>
      <c r="O43" s="36">
        <f ca="1">IF(DAY(lokasu1)=1,IF(AND(YEAR(lokasu1+12)=Kalenterivuosi,MONTH(lokasu1+12)=10),lokasu1+12,""),IF(AND(YEAR(lokasu1+19)=Kalenterivuosi,MONTH(lokasu1+19)=10),lokasu1+19,""))</f>
        <v>43756</v>
      </c>
      <c r="P43" s="36">
        <f ca="1">IF(DAY(lokasu1)=1,IF(AND(YEAR(lokasu1+13)=Kalenterivuosi,MONTH(lokasu1+13)=10),lokasu1+13,""),IF(AND(YEAR(lokasu1+20)=Kalenterivuosi,MONTH(lokasu1+20)=10),lokasu1+20,""))</f>
        <v>43757</v>
      </c>
      <c r="Q43" s="36">
        <f ca="1">IF(DAY(lokasu1)=1,IF(AND(YEAR(lokasu1+14)=Kalenterivuosi,MONTH(lokasu1+14)=10),lokasu1+14,""),IF(AND(YEAR(lokasu1+21)=Kalenterivuosi,MONTH(lokasu1+21)=10),lokasu1+21,""))</f>
        <v>43758</v>
      </c>
      <c r="S43" s="5"/>
      <c r="U43" s="18"/>
    </row>
    <row r="44" spans="3:21" ht="15" customHeight="1" x14ac:dyDescent="0.2">
      <c r="C44" s="36">
        <f ca="1">IF(DAY(syyssu1)=1,IF(AND(YEAR(syyssu1+15)=Kalenterivuosi,MONTH(syyssu1+15)=9),syyssu1+15,""),IF(AND(YEAR(syyssu1+22)=Kalenterivuosi,MONTH(syyssu1+22)=9),syyssu1+22,""))</f>
        <v>43724</v>
      </c>
      <c r="D44" s="36">
        <f ca="1">IF(DAY(syyssu1)=1,IF(AND(YEAR(syyssu1+16)=Kalenterivuosi,MONTH(syyssu1+16)=9),syyssu1+16,""),IF(AND(YEAR(syyssu1+23)=Kalenterivuosi,MONTH(syyssu1+23)=9),syyssu1+23,""))</f>
        <v>43725</v>
      </c>
      <c r="E44" s="36">
        <f ca="1">IF(DAY(syyssu1)=1,IF(AND(YEAR(syyssu1+17)=Kalenterivuosi,MONTH(syyssu1+17)=9),syyssu1+17,""),IF(AND(YEAR(syyssu1+24)=Kalenterivuosi,MONTH(syyssu1+24)=9),syyssu1+24,""))</f>
        <v>43726</v>
      </c>
      <c r="F44" s="36">
        <f ca="1">IF(DAY(syyssu1)=1,IF(AND(YEAR(syyssu1+18)=Kalenterivuosi,MONTH(syyssu1+18)=9),syyssu1+18,""),IF(AND(YEAR(syyssu1+25)=Kalenterivuosi,MONTH(syyssu1+25)=9),syyssu1+25,""))</f>
        <v>43727</v>
      </c>
      <c r="G44" s="36">
        <f ca="1">IF(DAY(syyssu1)=1,IF(AND(YEAR(syyssu1+19)=Kalenterivuosi,MONTH(syyssu1+19)=9),syyssu1+19,""),IF(AND(YEAR(syyssu1+26)=Kalenterivuosi,MONTH(syyssu1+26)=9),syyssu1+26,""))</f>
        <v>43728</v>
      </c>
      <c r="H44" s="36">
        <f ca="1">IF(DAY(syyssu1)=1,IF(AND(YEAR(syyssu1+20)=Kalenterivuosi,MONTH(syyssu1+20)=9),syyssu1+20,""),IF(AND(YEAR(syyssu1+27)=Kalenterivuosi,MONTH(syyssu1+27)=9),syyssu1+27,""))</f>
        <v>43729</v>
      </c>
      <c r="I44" s="36">
        <f ca="1">IF(DAY(syyssu1)=1,IF(AND(YEAR(syyssu1+21)=Kalenterivuosi,MONTH(syyssu1+21)=9),syyssu1+21,""),IF(AND(YEAR(syyssu1+28)=Kalenterivuosi,MONTH(syyssu1+28)=9),syyssu1+28,""))</f>
        <v>43730</v>
      </c>
      <c r="J44" s="22"/>
      <c r="K44" s="36">
        <f ca="1">IF(DAY(lokasu1)=1,IF(AND(YEAR(lokasu1+15)=Kalenterivuosi,MONTH(lokasu1+15)=10),lokasu1+15,""),IF(AND(YEAR(lokasu1+22)=Kalenterivuosi,MONTH(lokasu1+22)=10),lokasu1+22,""))</f>
        <v>43759</v>
      </c>
      <c r="L44" s="36">
        <f ca="1">IF(DAY(lokasu1)=1,IF(AND(YEAR(lokasu1+16)=Kalenterivuosi,MONTH(lokasu1+16)=10),lokasu1+16,""),IF(AND(YEAR(lokasu1+23)=Kalenterivuosi,MONTH(lokasu1+23)=10),lokasu1+23,""))</f>
        <v>43760</v>
      </c>
      <c r="M44" s="36">
        <f ca="1">IF(DAY(lokasu1)=1,IF(AND(YEAR(lokasu1+17)=Kalenterivuosi,MONTH(lokasu1+17)=10),lokasu1+17,""),IF(AND(YEAR(lokasu1+24)=Kalenterivuosi,MONTH(lokasu1+24)=10),lokasu1+24,""))</f>
        <v>43761</v>
      </c>
      <c r="N44" s="36">
        <f ca="1">IF(DAY(lokasu1)=1,IF(AND(YEAR(lokasu1+18)=Kalenterivuosi,MONTH(lokasu1+18)=10),lokasu1+18,""),IF(AND(YEAR(lokasu1+25)=Kalenterivuosi,MONTH(lokasu1+25)=10),lokasu1+25,""))</f>
        <v>43762</v>
      </c>
      <c r="O44" s="36">
        <f ca="1">IF(DAY(lokasu1)=1,IF(AND(YEAR(lokasu1+19)=Kalenterivuosi,MONTH(lokasu1+19)=10),lokasu1+19,""),IF(AND(YEAR(lokasu1+26)=Kalenterivuosi,MONTH(lokasu1+26)=10),lokasu1+26,""))</f>
        <v>43763</v>
      </c>
      <c r="P44" s="36">
        <f ca="1">IF(DAY(lokasu1)=1,IF(AND(YEAR(lokasu1+20)=Kalenterivuosi,MONTH(lokasu1+20)=10),lokasu1+20,""),IF(AND(YEAR(lokasu1+27)=Kalenterivuosi,MONTH(lokasu1+27)=10),lokasu1+27,""))</f>
        <v>43764</v>
      </c>
      <c r="Q44" s="36">
        <f ca="1">IF(DAY(lokasu1)=1,IF(AND(YEAR(lokasu1+21)=Kalenterivuosi,MONTH(lokasu1+21)=10),lokasu1+21,""),IF(AND(YEAR(lokasu1+28)=Kalenterivuosi,MONTH(lokasu1+28)=10),lokasu1+28,""))</f>
        <v>43765</v>
      </c>
      <c r="S44" s="5"/>
      <c r="U44" s="17" t="s">
        <v>25</v>
      </c>
    </row>
    <row r="45" spans="3:21" ht="15" customHeight="1" x14ac:dyDescent="0.2">
      <c r="C45" s="36">
        <f ca="1">IF(DAY(syyssu1)=1,IF(AND(YEAR(syyssu1+22)=Kalenterivuosi,MONTH(syyssu1+22)=9),syyssu1+22,""),IF(AND(YEAR(syyssu1+29)=Kalenterivuosi,MONTH(syyssu1+29)=9),syyssu1+29,""))</f>
        <v>43731</v>
      </c>
      <c r="D45" s="36">
        <f ca="1">IF(DAY(syyssu1)=1,IF(AND(YEAR(syyssu1+23)=Kalenterivuosi,MONTH(syyssu1+23)=9),syyssu1+23,""),IF(AND(YEAR(syyssu1+30)=Kalenterivuosi,MONTH(syyssu1+30)=9),syyssu1+30,""))</f>
        <v>43732</v>
      </c>
      <c r="E45" s="36">
        <f ca="1">IF(DAY(syyssu1)=1,IF(AND(YEAR(syyssu1+24)=Kalenterivuosi,MONTH(syyssu1+24)=9),syyssu1+24,""),IF(AND(YEAR(syyssu1+31)=Kalenterivuosi,MONTH(syyssu1+31)=9),syyssu1+31,""))</f>
        <v>43733</v>
      </c>
      <c r="F45" s="36">
        <f ca="1">IF(DAY(syyssu1)=1,IF(AND(YEAR(syyssu1+25)=Kalenterivuosi,MONTH(syyssu1+25)=9),syyssu1+25,""),IF(AND(YEAR(syyssu1+32)=Kalenterivuosi,MONTH(syyssu1+32)=9),syyssu1+32,""))</f>
        <v>43734</v>
      </c>
      <c r="G45" s="36">
        <f ca="1">IF(DAY(syyssu1)=1,IF(AND(YEAR(syyssu1+26)=Kalenterivuosi,MONTH(syyssu1+26)=9),syyssu1+26,""),IF(AND(YEAR(syyssu1+33)=Kalenterivuosi,MONTH(syyssu1+33)=9),syyssu1+33,""))</f>
        <v>43735</v>
      </c>
      <c r="H45" s="36">
        <f ca="1">IF(DAY(syyssu1)=1,IF(AND(YEAR(syyssu1+27)=Kalenterivuosi,MONTH(syyssu1+27)=9),syyssu1+27,""),IF(AND(YEAR(syyssu1+34)=Kalenterivuosi,MONTH(syyssu1+34)=9),syyssu1+34,""))</f>
        <v>43736</v>
      </c>
      <c r="I45" s="36">
        <f ca="1">IF(DAY(syyssu1)=1,IF(AND(YEAR(syyssu1+28)=Kalenterivuosi,MONTH(syyssu1+28)=9),syyssu1+28,""),IF(AND(YEAR(syyssu1+35)=Kalenterivuosi,MONTH(syyssu1+35)=9),syyssu1+35,""))</f>
        <v>43737</v>
      </c>
      <c r="J45" s="22"/>
      <c r="K45" s="36">
        <f ca="1">IF(DAY(lokasu1)=1,IF(AND(YEAR(lokasu1+22)=Kalenterivuosi,MONTH(lokasu1+22)=10),lokasu1+22,""),IF(AND(YEAR(lokasu1+29)=Kalenterivuosi,MONTH(lokasu1+29)=10),lokasu1+29,""))</f>
        <v>43766</v>
      </c>
      <c r="L45" s="36">
        <f ca="1">IF(DAY(lokasu1)=1,IF(AND(YEAR(lokasu1+23)=Kalenterivuosi,MONTH(lokasu1+23)=10),lokasu1+23,""),IF(AND(YEAR(lokasu1+30)=Kalenterivuosi,MONTH(lokasu1+30)=10),lokasu1+30,""))</f>
        <v>43767</v>
      </c>
      <c r="M45" s="36">
        <f ca="1">IF(DAY(lokasu1)=1,IF(AND(YEAR(lokasu1+24)=Kalenterivuosi,MONTH(lokasu1+24)=10),lokasu1+24,""),IF(AND(YEAR(lokasu1+31)=Kalenterivuosi,MONTH(lokasu1+31)=10),lokasu1+31,""))</f>
        <v>43768</v>
      </c>
      <c r="N45" s="36">
        <f ca="1">IF(DAY(lokasu1)=1,IF(AND(YEAR(lokasu1+25)=Kalenterivuosi,MONTH(lokasu1+25)=10),lokasu1+25,""),IF(AND(YEAR(lokasu1+32)=Kalenterivuosi,MONTH(lokasu1+32)=10),lokasu1+32,""))</f>
        <v>43769</v>
      </c>
      <c r="O45" s="36" t="str">
        <f ca="1">IF(DAY(lokasu1)=1,IF(AND(YEAR(lokasu1+26)=Kalenterivuosi,MONTH(lokasu1+26)=10),lokasu1+26,""),IF(AND(YEAR(lokasu1+33)=Kalenterivuosi,MONTH(lokasu1+33)=10),lokasu1+33,""))</f>
        <v/>
      </c>
      <c r="P45" s="36" t="str">
        <f ca="1">IF(DAY(lokasu1)=1,IF(AND(YEAR(lokasu1+27)=Kalenterivuosi,MONTH(lokasu1+27)=10),lokasu1+27,""),IF(AND(YEAR(lokasu1+34)=Kalenterivuosi,MONTH(lokasu1+34)=10),lokasu1+34,""))</f>
        <v/>
      </c>
      <c r="Q45" s="36" t="str">
        <f ca="1">IF(DAY(lokasu1)=1,IF(AND(YEAR(lokasu1+28)=Kalenterivuosi,MONTH(lokasu1+28)=10),lokasu1+28,""),IF(AND(YEAR(lokasu1+35)=Kalenterivuosi,MONTH(lokasu1+35)=10),lokasu1+35,""))</f>
        <v/>
      </c>
      <c r="S45" s="5"/>
      <c r="U45" s="10" t="s">
        <v>26</v>
      </c>
    </row>
    <row r="46" spans="3:21" ht="15" customHeight="1" x14ac:dyDescent="0.2">
      <c r="C46" s="36">
        <f ca="1">IF(DAY(syyssu1)=1,IF(AND(YEAR(syyssu1+29)=Kalenterivuosi,MONTH(syyssu1+29)=9),syyssu1+29,""),IF(AND(YEAR(syyssu1+36)=Kalenterivuosi,MONTH(syyssu1+36)=9),syyssu1+36,""))</f>
        <v>43738</v>
      </c>
      <c r="D46" s="36" t="str">
        <f ca="1">IF(DAY(syyssu1)=1,IF(AND(YEAR(syyssu1+30)=Kalenterivuosi,MONTH(syyssu1+30)=9),syyssu1+30,""),IF(AND(YEAR(syyssu1+37)=Kalenterivuosi,MONTH(syyssu1+37)=9),syyssu1+37,""))</f>
        <v/>
      </c>
      <c r="E46" s="36" t="str">
        <f ca="1">IF(DAY(syyssu1)=1,IF(AND(YEAR(syyssu1+31)=Kalenterivuosi,MONTH(syyssu1+31)=9),syyssu1+31,""),IF(AND(YEAR(syyssu1+38)=Kalenterivuosi,MONTH(syyssu1+38)=9),syyssu1+38,""))</f>
        <v/>
      </c>
      <c r="F46" s="36" t="str">
        <f ca="1">IF(DAY(syyssu1)=1,IF(AND(YEAR(syyssu1+32)=Kalenterivuosi,MONTH(syyssu1+32)=9),syyssu1+32,""),IF(AND(YEAR(syyssu1+39)=Kalenterivuosi,MONTH(syyssu1+39)=9),syyssu1+39,""))</f>
        <v/>
      </c>
      <c r="G46" s="36" t="str">
        <f ca="1">IF(DAY(syyssu1)=1,IF(AND(YEAR(syyssu1+33)=Kalenterivuosi,MONTH(syyssu1+33)=9),syyssu1+33,""),IF(AND(YEAR(syyssu1+40)=Kalenterivuosi,MONTH(syyssu1+40)=9),syyssu1+40,""))</f>
        <v/>
      </c>
      <c r="H46" s="36" t="str">
        <f ca="1">IF(DAY(syyssu1)=1,IF(AND(YEAR(syyssu1+34)=Kalenterivuosi,MONTH(syyssu1+34)=9),syyssu1+34,""),IF(AND(YEAR(syyssu1+41)=Kalenterivuosi,MONTH(syyssu1+41)=9),syyssu1+41,""))</f>
        <v/>
      </c>
      <c r="I46" s="36" t="str">
        <f ca="1">IF(DAY(syyssu1)=1,IF(AND(YEAR(syyssu1+35)=Kalenterivuosi,MONTH(syyssu1+35)=9),syyssu1+35,""),IF(AND(YEAR(syyssu1+42)=Kalenterivuosi,MONTH(syyssu1+42)=9),syyssu1+42,""))</f>
        <v/>
      </c>
      <c r="J46" s="22"/>
      <c r="K46" s="36" t="str">
        <f ca="1">IF(DAY(lokasu1)=1,IF(AND(YEAR(lokasu1+29)=Kalenterivuosi,MONTH(lokasu1+29)=10),lokasu1+29,""),IF(AND(YEAR(lokasu1+36)=Kalenterivuosi,MONTH(lokasu1+36)=10),lokasu1+36,""))</f>
        <v/>
      </c>
      <c r="L46" s="36" t="str">
        <f ca="1">IF(DAY(lokasu1)=1,IF(AND(YEAR(lokasu1+30)=Kalenterivuosi,MONTH(lokasu1+30)=10),lokasu1+30,""),IF(AND(YEAR(lokasu1+37)=Kalenterivuosi,MONTH(lokasu1+37)=10),lokasu1+37,""))</f>
        <v/>
      </c>
      <c r="M46" s="36" t="str">
        <f ca="1">IF(DAY(lokasu1)=1,IF(AND(YEAR(lokasu1+31)=Kalenterivuosi,MONTH(lokasu1+31)=10),lokasu1+31,""),IF(AND(YEAR(lokasu1+38)=Kalenterivuosi,MONTH(lokasu1+38)=10),lokasu1+38,""))</f>
        <v/>
      </c>
      <c r="N46" s="36" t="str">
        <f ca="1">IF(DAY(lokasu1)=1,IF(AND(YEAR(lokasu1+32)=Kalenterivuosi,MONTH(lokasu1+32)=10),lokasu1+32,""),IF(AND(YEAR(lokasu1+39)=Kalenterivuosi,MONTH(lokasu1+39)=10),lokasu1+39,""))</f>
        <v/>
      </c>
      <c r="O46" s="36" t="str">
        <f ca="1">IF(DAY(lokasu1)=1,IF(AND(YEAR(lokasu1+33)=Kalenterivuosi,MONTH(lokasu1+33)=10),lokasu1+33,""),IF(AND(YEAR(lokasu1+40)=Kalenterivuosi,MONTH(lokasu1+40)=10),lokasu1+40,""))</f>
        <v/>
      </c>
      <c r="P46" s="36" t="str">
        <f ca="1">IF(DAY(lokasu1)=1,IF(AND(YEAR(lokasu1+34)=Kalenterivuosi,MONTH(lokasu1+34)=10),lokasu1+34,""),IF(AND(YEAR(lokasu1+41)=Kalenterivuosi,MONTH(lokasu1+41)=10),lokasu1+41,""))</f>
        <v/>
      </c>
      <c r="Q46" s="36" t="str">
        <f ca="1">IF(DAY(lokasu1)=1,IF(AND(YEAR(lokasu1+35)=Kalenterivuosi,MONTH(lokasu1+35)=10),lokasu1+35,""),IF(AND(YEAR(lokasu1+42)=Kalenterivuosi,MONTH(lokasu1+42)=10),lokasu1+42,""))</f>
        <v/>
      </c>
      <c r="S46" s="5"/>
      <c r="U46" s="10"/>
    </row>
    <row r="47" spans="3:21" ht="15" customHeight="1" x14ac:dyDescent="0.2">
      <c r="C47" s="2"/>
      <c r="D47" s="2"/>
      <c r="E47" s="2"/>
      <c r="F47" s="2"/>
      <c r="G47" s="2"/>
      <c r="H47" s="2"/>
      <c r="I47" s="2"/>
      <c r="J47" s="22"/>
      <c r="S47" s="5"/>
      <c r="U47" s="10" t="s">
        <v>27</v>
      </c>
    </row>
    <row r="48" spans="3:21" ht="15" customHeight="1" x14ac:dyDescent="0.25">
      <c r="C48" s="4" t="s">
        <v>6</v>
      </c>
      <c r="D48" s="3"/>
      <c r="E48" s="3"/>
      <c r="F48" s="3"/>
      <c r="G48" s="3"/>
      <c r="H48" s="3"/>
      <c r="I48" s="3"/>
      <c r="J48" s="22"/>
      <c r="K48" s="4" t="s">
        <v>17</v>
      </c>
      <c r="L48" s="3"/>
      <c r="M48" s="3"/>
      <c r="N48" s="3"/>
      <c r="O48" s="3"/>
      <c r="P48" s="3"/>
      <c r="Q48" s="3"/>
      <c r="S48" s="5"/>
      <c r="U48" s="10" t="s">
        <v>28</v>
      </c>
    </row>
    <row r="49" spans="3:21" ht="15" customHeight="1" x14ac:dyDescent="0.2">
      <c r="C49" s="34" t="s">
        <v>1</v>
      </c>
      <c r="D49" s="34" t="s">
        <v>7</v>
      </c>
      <c r="E49" s="34" t="s">
        <v>8</v>
      </c>
      <c r="F49" s="34" t="s">
        <v>7</v>
      </c>
      <c r="G49" s="34" t="s">
        <v>9</v>
      </c>
      <c r="H49" s="34" t="s">
        <v>11</v>
      </c>
      <c r="I49" s="34" t="s">
        <v>11</v>
      </c>
      <c r="J49" s="23"/>
      <c r="K49" s="35" t="s">
        <v>1</v>
      </c>
      <c r="L49" s="35" t="s">
        <v>7</v>
      </c>
      <c r="M49" s="35" t="s">
        <v>8</v>
      </c>
      <c r="N49" s="35" t="s">
        <v>7</v>
      </c>
      <c r="O49" s="35" t="s">
        <v>9</v>
      </c>
      <c r="P49" s="35" t="s">
        <v>11</v>
      </c>
      <c r="Q49" s="35" t="s">
        <v>11</v>
      </c>
      <c r="S49" s="5"/>
      <c r="U49" s="10" t="s">
        <v>29</v>
      </c>
    </row>
    <row r="50" spans="3:21" ht="15" customHeight="1" x14ac:dyDescent="0.2">
      <c r="C50" s="36" t="str">
        <f ca="1">IF(DAY(marrassu1)=1,"",IF(AND(YEAR(marrassu1+1)=Kalenterivuosi,MONTH(marrassu1+1)=11),marrassu1+1,""))</f>
        <v/>
      </c>
      <c r="D50" s="36" t="str">
        <f ca="1">IF(DAY(marrassu1)=1,"",IF(AND(YEAR(marrassu1+2)=Kalenterivuosi,MONTH(marrassu1+2)=11),marrassu1+2,""))</f>
        <v/>
      </c>
      <c r="E50" s="36" t="str">
        <f ca="1">IF(DAY(marrassu1)=1,"",IF(AND(YEAR(marrassu1+3)=Kalenterivuosi,MONTH(marrassu1+3)=11),marrassu1+3,""))</f>
        <v/>
      </c>
      <c r="F50" s="36" t="str">
        <f ca="1">IF(DAY(marrassu1)=1,"",IF(AND(YEAR(marrassu1+4)=Kalenterivuosi,MONTH(marrassu1+4)=11),marrassu1+4,""))</f>
        <v/>
      </c>
      <c r="G50" s="36">
        <f ca="1">IF(DAY(marrassu1)=1,"",IF(AND(YEAR(marrassu1+5)=Kalenterivuosi,MONTH(marrassu1+5)=11),marrassu1+5,""))</f>
        <v>43770</v>
      </c>
      <c r="H50" s="36">
        <f ca="1">IF(DAY(marrassu1)=1,"",IF(AND(YEAR(marrassu1+6)=Kalenterivuosi,MONTH(marrassu1+6)=11),marrassu1+6,""))</f>
        <v>43771</v>
      </c>
      <c r="I50" s="36">
        <f ca="1">IF(DAY(marrassu1)=1,IF(AND(YEAR(marrassu1)=Kalenterivuosi,MONTH(marrassu1)=11),marrassu1,""),IF(AND(YEAR(marrassu1+7)=Kalenterivuosi,MONTH(marrassu1+7)=11),marrassu1+7,""))</f>
        <v>43772</v>
      </c>
      <c r="J50" s="22"/>
      <c r="K50" s="36" t="str">
        <f ca="1">IF(DAY(joulusu1)=1,"",IF(AND(YEAR(joulusu1+1)=Kalenterivuosi,MONTH(joulusu1+1)=12),joulusu1+1,""))</f>
        <v/>
      </c>
      <c r="L50" s="36" t="str">
        <f ca="1">IF(DAY(joulusu1)=1,"",IF(AND(YEAR(joulusu1+2)=Kalenterivuosi,MONTH(joulusu1+2)=12),joulusu1+2,""))</f>
        <v/>
      </c>
      <c r="M50" s="36" t="str">
        <f ca="1">IF(DAY(joulusu1)=1,"",IF(AND(YEAR(joulusu1+3)=Kalenterivuosi,MONTH(joulusu1+3)=12),joulusu1+3,""))</f>
        <v/>
      </c>
      <c r="N50" s="36" t="str">
        <f ca="1">IF(DAY(joulusu1)=1,"",IF(AND(YEAR(joulusu1+4)=Kalenterivuosi,MONTH(joulusu1+4)=12),joulusu1+4,""))</f>
        <v/>
      </c>
      <c r="O50" s="36" t="str">
        <f ca="1">IF(DAY(joulusu1)=1,"",IF(AND(YEAR(joulusu1+5)=Kalenterivuosi,MONTH(joulusu1+5)=12),joulusu1+5,""))</f>
        <v/>
      </c>
      <c r="P50" s="36" t="str">
        <f ca="1">IF(DAY(joulusu1)=1,"",IF(AND(YEAR(joulusu1+6)=Kalenterivuosi,MONTH(joulusu1+6)=12),joulusu1+6,""))</f>
        <v/>
      </c>
      <c r="Q50" s="36">
        <f ca="1">IF(DAY(joulusu1)=1,IF(AND(YEAR(joulusu1)=Kalenterivuosi,MONTH(joulusu1)=12),joulusu1,""),IF(AND(YEAR(joulusu1+7)=Kalenterivuosi,MONTH(joulusu1+7)=12),joulusu1+7,""))</f>
        <v>43800</v>
      </c>
      <c r="S50" s="5"/>
      <c r="U50" s="10"/>
    </row>
    <row r="51" spans="3:21" ht="15" customHeight="1" x14ac:dyDescent="0.2">
      <c r="C51" s="36">
        <f ca="1">IF(DAY(marrassu1)=1,IF(AND(YEAR(marrassu1+1)=Kalenterivuosi,MONTH(marrassu1+1)=11),marrassu1+1,""),IF(AND(YEAR(marrassu1+8)=Kalenterivuosi,MONTH(marrassu1+8)=11),marrassu1+8,""))</f>
        <v>43773</v>
      </c>
      <c r="D51" s="36">
        <f ca="1">IF(DAY(marrassu1)=1,IF(AND(YEAR(marrassu1+2)=Kalenterivuosi,MONTH(marrassu1+2)=11),marrassu1+2,""),IF(AND(YEAR(marrassu1+9)=Kalenterivuosi,MONTH(marrassu1+9)=11),marrassu1+9,""))</f>
        <v>43774</v>
      </c>
      <c r="E51" s="36">
        <f ca="1">IF(DAY(marrassu1)=1,IF(AND(YEAR(marrassu1+3)=Kalenterivuosi,MONTH(marrassu1+3)=11),marrassu1+3,""),IF(AND(YEAR(marrassu1+10)=Kalenterivuosi,MONTH(marrassu1+10)=11),marrassu1+10,""))</f>
        <v>43775</v>
      </c>
      <c r="F51" s="36">
        <f ca="1">IF(DAY(marrassu1)=1,IF(AND(YEAR(marrassu1+4)=Kalenterivuosi,MONTH(marrassu1+4)=11),marrassu1+4,""),IF(AND(YEAR(marrassu1+11)=Kalenterivuosi,MONTH(marrassu1+11)=11),marrassu1+11,""))</f>
        <v>43776</v>
      </c>
      <c r="G51" s="36">
        <f ca="1">IF(DAY(marrassu1)=1,IF(AND(YEAR(marrassu1+5)=Kalenterivuosi,MONTH(marrassu1+5)=11),marrassu1+5,""),IF(AND(YEAR(marrassu1+12)=Kalenterivuosi,MONTH(marrassu1+12)=11),marrassu1+12,""))</f>
        <v>43777</v>
      </c>
      <c r="H51" s="36">
        <f ca="1">IF(DAY(marrassu1)=1,IF(AND(YEAR(marrassu1+6)=Kalenterivuosi,MONTH(marrassu1+6)=11),marrassu1+6,""),IF(AND(YEAR(marrassu1+13)=Kalenterivuosi,MONTH(marrassu1+13)=11),marrassu1+13,""))</f>
        <v>43778</v>
      </c>
      <c r="I51" s="36">
        <f ca="1">IF(DAY(marrassu1)=1,IF(AND(YEAR(marrassu1+7)=Kalenterivuosi,MONTH(marrassu1+7)=11),marrassu1+7,""),IF(AND(YEAR(marrassu1+14)=Kalenterivuosi,MONTH(marrassu1+14)=11),marrassu1+14,""))</f>
        <v>43779</v>
      </c>
      <c r="J51" s="22"/>
      <c r="K51" s="36">
        <f ca="1">IF(DAY(joulusu1)=1,IF(AND(YEAR(joulusu1+1)=Kalenterivuosi,MONTH(joulusu1+1)=12),joulusu1+1,""),IF(AND(YEAR(joulusu1+8)=Kalenterivuosi,MONTH(joulusu1+8)=12),joulusu1+8,""))</f>
        <v>43801</v>
      </c>
      <c r="L51" s="36">
        <f ca="1">IF(DAY(joulusu1)=1,IF(AND(YEAR(joulusu1+2)=Kalenterivuosi,MONTH(joulusu1+2)=12),joulusu1+2,""),IF(AND(YEAR(joulusu1+9)=Kalenterivuosi,MONTH(joulusu1+9)=12),joulusu1+9,""))</f>
        <v>43802</v>
      </c>
      <c r="M51" s="36">
        <f ca="1">IF(DAY(joulusu1)=1,IF(AND(YEAR(joulusu1+3)=Kalenterivuosi,MONTH(joulusu1+3)=12),joulusu1+3,""),IF(AND(YEAR(joulusu1+10)=Kalenterivuosi,MONTH(joulusu1+10)=12),joulusu1+10,""))</f>
        <v>43803</v>
      </c>
      <c r="N51" s="36">
        <f ca="1">IF(DAY(joulusu1)=1,IF(AND(YEAR(joulusu1+4)=Kalenterivuosi,MONTH(joulusu1+4)=12),joulusu1+4,""),IF(AND(YEAR(joulusu1+11)=Kalenterivuosi,MONTH(joulusu1+11)=12),joulusu1+11,""))</f>
        <v>43804</v>
      </c>
      <c r="O51" s="36">
        <f ca="1">IF(DAY(joulusu1)=1,IF(AND(YEAR(joulusu1+5)=Kalenterivuosi,MONTH(joulusu1+5)=12),joulusu1+5,""),IF(AND(YEAR(joulusu1+12)=Kalenterivuosi,MONTH(joulusu1+12)=12),joulusu1+12,""))</f>
        <v>43805</v>
      </c>
      <c r="P51" s="36">
        <f ca="1">IF(DAY(joulusu1)=1,IF(AND(YEAR(joulusu1+6)=Kalenterivuosi,MONTH(joulusu1+6)=12),joulusu1+6,""),IF(AND(YEAR(joulusu1+13)=Kalenterivuosi,MONTH(joulusu1+13)=12),joulusu1+13,""))</f>
        <v>43806</v>
      </c>
      <c r="Q51" s="36">
        <f ca="1">IF(DAY(joulusu1)=1,IF(AND(YEAR(joulusu1+7)=Kalenterivuosi,MONTH(joulusu1+7)=12),joulusu1+7,""),IF(AND(YEAR(joulusu1+14)=Kalenterivuosi,MONTH(joulusu1+14)=12),joulusu1+14,""))</f>
        <v>43807</v>
      </c>
      <c r="S51" s="5"/>
      <c r="U51" s="9"/>
    </row>
    <row r="52" spans="3:21" ht="15" customHeight="1" x14ac:dyDescent="0.2">
      <c r="C52" s="36">
        <f ca="1">IF(DAY(marrassu1)=1,IF(AND(YEAR(marrassu1+8)=Kalenterivuosi,MONTH(marrassu1+8)=11),marrassu1+8,""),IF(AND(YEAR(marrassu1+15)=Kalenterivuosi,MONTH(marrassu1+15)=11),marrassu1+15,""))</f>
        <v>43780</v>
      </c>
      <c r="D52" s="36">
        <f ca="1">IF(DAY(marrassu1)=1,IF(AND(YEAR(marrassu1+9)=Kalenterivuosi,MONTH(marrassu1+9)=11),marrassu1+9,""),IF(AND(YEAR(marrassu1+16)=Kalenterivuosi,MONTH(marrassu1+16)=11),marrassu1+16,""))</f>
        <v>43781</v>
      </c>
      <c r="E52" s="36">
        <f ca="1">IF(DAY(marrassu1)=1,IF(AND(YEAR(marrassu1+10)=Kalenterivuosi,MONTH(marrassu1+10)=11),marrassu1+10,""),IF(AND(YEAR(marrassu1+17)=Kalenterivuosi,MONTH(marrassu1+17)=11),marrassu1+17,""))</f>
        <v>43782</v>
      </c>
      <c r="F52" s="36">
        <f ca="1">IF(DAY(marrassu1)=1,IF(AND(YEAR(marrassu1+11)=Kalenterivuosi,MONTH(marrassu1+11)=11),marrassu1+11,""),IF(AND(YEAR(marrassu1+18)=Kalenterivuosi,MONTH(marrassu1+18)=11),marrassu1+18,""))</f>
        <v>43783</v>
      </c>
      <c r="G52" s="36">
        <f ca="1">IF(DAY(marrassu1)=1,IF(AND(YEAR(marrassu1+12)=Kalenterivuosi,MONTH(marrassu1+12)=11),marrassu1+12,""),IF(AND(YEAR(marrassu1+19)=Kalenterivuosi,MONTH(marrassu1+19)=11),marrassu1+19,""))</f>
        <v>43784</v>
      </c>
      <c r="H52" s="36">
        <f ca="1">IF(DAY(marrassu1)=1,IF(AND(YEAR(marrassu1+13)=Kalenterivuosi,MONTH(marrassu1+13)=11),marrassu1+13,""),IF(AND(YEAR(marrassu1+20)=Kalenterivuosi,MONTH(marrassu1+20)=11),marrassu1+20,""))</f>
        <v>43785</v>
      </c>
      <c r="I52" s="36">
        <f ca="1">IF(DAY(marrassu1)=1,IF(AND(YEAR(marrassu1+14)=Kalenterivuosi,MONTH(marrassu1+14)=11),marrassu1+14,""),IF(AND(YEAR(marrassu1+21)=Kalenterivuosi,MONTH(marrassu1+21)=11),marrassu1+21,""))</f>
        <v>43786</v>
      </c>
      <c r="J52" s="22"/>
      <c r="K52" s="36">
        <f ca="1">IF(DAY(joulusu1)=1,IF(AND(YEAR(joulusu1+8)=Kalenterivuosi,MONTH(joulusu1+8)=12),joulusu1+8,""),IF(AND(YEAR(joulusu1+15)=Kalenterivuosi,MONTH(joulusu1+15)=12),joulusu1+15,""))</f>
        <v>43808</v>
      </c>
      <c r="L52" s="36">
        <f ca="1">IF(DAY(joulusu1)=1,IF(AND(YEAR(joulusu1+9)=Kalenterivuosi,MONTH(joulusu1+9)=12),joulusu1+9,""),IF(AND(YEAR(joulusu1+16)=Kalenterivuosi,MONTH(joulusu1+16)=12),joulusu1+16,""))</f>
        <v>43809</v>
      </c>
      <c r="M52" s="36">
        <f ca="1">IF(DAY(joulusu1)=1,IF(AND(YEAR(joulusu1+10)=Kalenterivuosi,MONTH(joulusu1+10)=12),joulusu1+10,""),IF(AND(YEAR(joulusu1+17)=Kalenterivuosi,MONTH(joulusu1+17)=12),joulusu1+17,""))</f>
        <v>43810</v>
      </c>
      <c r="N52" s="36">
        <f ca="1">IF(DAY(joulusu1)=1,IF(AND(YEAR(joulusu1+11)=Kalenterivuosi,MONTH(joulusu1+11)=12),joulusu1+11,""),IF(AND(YEAR(joulusu1+18)=Kalenterivuosi,MONTH(joulusu1+18)=12),joulusu1+18,""))</f>
        <v>43811</v>
      </c>
      <c r="O52" s="36">
        <f ca="1">IF(DAY(joulusu1)=1,IF(AND(YEAR(joulusu1+12)=Kalenterivuosi,MONTH(joulusu1+12)=12),joulusu1+12,""),IF(AND(YEAR(joulusu1+19)=Kalenterivuosi,MONTH(joulusu1+19)=12),joulusu1+19,""))</f>
        <v>43812</v>
      </c>
      <c r="P52" s="36">
        <f ca="1">IF(DAY(joulusu1)=1,IF(AND(YEAR(joulusu1+13)=Kalenterivuosi,MONTH(joulusu1+13)=12),joulusu1+13,""),IF(AND(YEAR(joulusu1+20)=Kalenterivuosi,MONTH(joulusu1+20)=12),joulusu1+20,""))</f>
        <v>43813</v>
      </c>
      <c r="Q52" s="36">
        <f ca="1">IF(DAY(joulusu1)=1,IF(AND(YEAR(joulusu1+14)=Kalenterivuosi,MONTH(joulusu1+14)=12),joulusu1+14,""),IF(AND(YEAR(joulusu1+21)=Kalenterivuosi,MONTH(joulusu1+21)=12),joulusu1+21,""))</f>
        <v>43814</v>
      </c>
      <c r="S52" s="5"/>
      <c r="U52" s="9"/>
    </row>
    <row r="53" spans="3:21" ht="15" customHeight="1" x14ac:dyDescent="0.2">
      <c r="C53" s="36">
        <f ca="1">IF(DAY(marrassu1)=1,IF(AND(YEAR(marrassu1+15)=Kalenterivuosi,MONTH(marrassu1+15)=11),marrassu1+15,""),IF(AND(YEAR(marrassu1+22)=Kalenterivuosi,MONTH(marrassu1+22)=11),marrassu1+22,""))</f>
        <v>43787</v>
      </c>
      <c r="D53" s="36">
        <f ca="1">IF(DAY(marrassu1)=1,IF(AND(YEAR(marrassu1+16)=Kalenterivuosi,MONTH(marrassu1+16)=11),marrassu1+16,""),IF(AND(YEAR(marrassu1+23)=Kalenterivuosi,MONTH(marrassu1+23)=11),marrassu1+23,""))</f>
        <v>43788</v>
      </c>
      <c r="E53" s="36">
        <f ca="1">IF(DAY(marrassu1)=1,IF(AND(YEAR(marrassu1+17)=Kalenterivuosi,MONTH(marrassu1+17)=11),marrassu1+17,""),IF(AND(YEAR(marrassu1+24)=Kalenterivuosi,MONTH(marrassu1+24)=11),marrassu1+24,""))</f>
        <v>43789</v>
      </c>
      <c r="F53" s="36">
        <f ca="1">IF(DAY(marrassu1)=1,IF(AND(YEAR(marrassu1+18)=Kalenterivuosi,MONTH(marrassu1+18)=11),marrassu1+18,""),IF(AND(YEAR(marrassu1+25)=Kalenterivuosi,MONTH(marrassu1+25)=11),marrassu1+25,""))</f>
        <v>43790</v>
      </c>
      <c r="G53" s="36">
        <f ca="1">IF(DAY(marrassu1)=1,IF(AND(YEAR(marrassu1+19)=Kalenterivuosi,MONTH(marrassu1+19)=11),marrassu1+19,""),IF(AND(YEAR(marrassu1+26)=Kalenterivuosi,MONTH(marrassu1+26)=11),marrassu1+26,""))</f>
        <v>43791</v>
      </c>
      <c r="H53" s="36">
        <f ca="1">IF(DAY(marrassu1)=1,IF(AND(YEAR(marrassu1+20)=Kalenterivuosi,MONTH(marrassu1+20)=11),marrassu1+20,""),IF(AND(YEAR(marrassu1+27)=Kalenterivuosi,MONTH(marrassu1+27)=11),marrassu1+27,""))</f>
        <v>43792</v>
      </c>
      <c r="I53" s="36">
        <f ca="1">IF(DAY(marrassu1)=1,IF(AND(YEAR(marrassu1+21)=Kalenterivuosi,MONTH(marrassu1+21)=11),marrassu1+21,""),IF(AND(YEAR(marrassu1+28)=Kalenterivuosi,MONTH(marrassu1+28)=11),marrassu1+28,""))</f>
        <v>43793</v>
      </c>
      <c r="J53" s="22"/>
      <c r="K53" s="36">
        <f ca="1">IF(DAY(joulusu1)=1,IF(AND(YEAR(joulusu1+15)=Kalenterivuosi,MONTH(joulusu1+15)=12),joulusu1+15,""),IF(AND(YEAR(joulusu1+22)=Kalenterivuosi,MONTH(joulusu1+22)=12),joulusu1+22,""))</f>
        <v>43815</v>
      </c>
      <c r="L53" s="36">
        <f ca="1">IF(DAY(joulusu1)=1,IF(AND(YEAR(joulusu1+16)=Kalenterivuosi,MONTH(joulusu1+16)=12),joulusu1+16,""),IF(AND(YEAR(joulusu1+23)=Kalenterivuosi,MONTH(joulusu1+23)=12),joulusu1+23,""))</f>
        <v>43816</v>
      </c>
      <c r="M53" s="36">
        <f ca="1">IF(DAY(joulusu1)=1,IF(AND(YEAR(joulusu1+17)=Kalenterivuosi,MONTH(joulusu1+17)=12),joulusu1+17,""),IF(AND(YEAR(joulusu1+24)=Kalenterivuosi,MONTH(joulusu1+24)=12),joulusu1+24,""))</f>
        <v>43817</v>
      </c>
      <c r="N53" s="36">
        <f ca="1">IF(DAY(joulusu1)=1,IF(AND(YEAR(joulusu1+18)=Kalenterivuosi,MONTH(joulusu1+18)=12),joulusu1+18,""),IF(AND(YEAR(joulusu1+25)=Kalenterivuosi,MONTH(joulusu1+25)=12),joulusu1+25,""))</f>
        <v>43818</v>
      </c>
      <c r="O53" s="36">
        <f ca="1">IF(DAY(joulusu1)=1,IF(AND(YEAR(joulusu1+19)=Kalenterivuosi,MONTH(joulusu1+19)=12),joulusu1+19,""),IF(AND(YEAR(joulusu1+26)=Kalenterivuosi,MONTH(joulusu1+26)=12),joulusu1+26,""))</f>
        <v>43819</v>
      </c>
      <c r="P53" s="36">
        <f ca="1">IF(DAY(joulusu1)=1,IF(AND(YEAR(joulusu1+20)=Kalenterivuosi,MONTH(joulusu1+20)=12),joulusu1+20,""),IF(AND(YEAR(joulusu1+27)=Kalenterivuosi,MONTH(joulusu1+27)=12),joulusu1+27,""))</f>
        <v>43820</v>
      </c>
      <c r="Q53" s="36">
        <f ca="1">IF(DAY(joulusu1)=1,IF(AND(YEAR(joulusu1+21)=Kalenterivuosi,MONTH(joulusu1+21)=12),joulusu1+21,""),IF(AND(YEAR(joulusu1+28)=Kalenterivuosi,MONTH(joulusu1+28)=12),joulusu1+28,""))</f>
        <v>43821</v>
      </c>
      <c r="S53" s="5"/>
      <c r="U53" s="9"/>
    </row>
    <row r="54" spans="3:21" ht="15" customHeight="1" x14ac:dyDescent="0.2">
      <c r="C54" s="36">
        <f ca="1">IF(DAY(marrassu1)=1,IF(AND(YEAR(marrassu1+22)=Kalenterivuosi,MONTH(marrassu1+22)=11),marrassu1+22,""),IF(AND(YEAR(marrassu1+29)=Kalenterivuosi,MONTH(marrassu1+29)=11),marrassu1+29,""))</f>
        <v>43794</v>
      </c>
      <c r="D54" s="36">
        <f ca="1">IF(DAY(marrassu1)=1,IF(AND(YEAR(marrassu1+23)=Kalenterivuosi,MONTH(marrassu1+23)=11),marrassu1+23,""),IF(AND(YEAR(marrassu1+30)=Kalenterivuosi,MONTH(marrassu1+30)=11),marrassu1+30,""))</f>
        <v>43795</v>
      </c>
      <c r="E54" s="36">
        <f ca="1">IF(DAY(marrassu1)=1,IF(AND(YEAR(marrassu1+24)=Kalenterivuosi,MONTH(marrassu1+24)=11),marrassu1+24,""),IF(AND(YEAR(marrassu1+31)=Kalenterivuosi,MONTH(marrassu1+31)=11),marrassu1+31,""))</f>
        <v>43796</v>
      </c>
      <c r="F54" s="36">
        <f ca="1">IF(DAY(marrassu1)=1,IF(AND(YEAR(marrassu1+25)=Kalenterivuosi,MONTH(marrassu1+25)=11),marrassu1+25,""),IF(AND(YEAR(marrassu1+32)=Kalenterivuosi,MONTH(marrassu1+32)=11),marrassu1+32,""))</f>
        <v>43797</v>
      </c>
      <c r="G54" s="36">
        <f ca="1">IF(DAY(marrassu1)=1,IF(AND(YEAR(marrassu1+26)=Kalenterivuosi,MONTH(marrassu1+26)=11),marrassu1+26,""),IF(AND(YEAR(marrassu1+33)=Kalenterivuosi,MONTH(marrassu1+33)=11),marrassu1+33,""))</f>
        <v>43798</v>
      </c>
      <c r="H54" s="36">
        <f ca="1">IF(DAY(marrassu1)=1,IF(AND(YEAR(marrassu1+27)=Kalenterivuosi,MONTH(marrassu1+27)=11),marrassu1+27,""),IF(AND(YEAR(marrassu1+34)=Kalenterivuosi,MONTH(marrassu1+34)=11),marrassu1+34,""))</f>
        <v>43799</v>
      </c>
      <c r="I54" s="36" t="str">
        <f ca="1">IF(DAY(marrassu1)=1,IF(AND(YEAR(marrassu1+28)=Kalenterivuosi,MONTH(marrassu1+28)=11),marrassu1+28,""),IF(AND(YEAR(marrassu1+35)=Kalenterivuosi,MONTH(marrassu1+35)=11),marrassu1+35,""))</f>
        <v/>
      </c>
      <c r="J54" s="22"/>
      <c r="K54" s="36">
        <f ca="1">IF(DAY(joulusu1)=1,IF(AND(YEAR(joulusu1+22)=Kalenterivuosi,MONTH(joulusu1+22)=12),joulusu1+22,""),IF(AND(YEAR(joulusu1+29)=Kalenterivuosi,MONTH(joulusu1+29)=12),joulusu1+29,""))</f>
        <v>43822</v>
      </c>
      <c r="L54" s="36">
        <f ca="1">IF(DAY(joulusu1)=1,IF(AND(YEAR(joulusu1+23)=Kalenterivuosi,MONTH(joulusu1+23)=12),joulusu1+23,""),IF(AND(YEAR(joulusu1+30)=Kalenterivuosi,MONTH(joulusu1+30)=12),joulusu1+30,""))</f>
        <v>43823</v>
      </c>
      <c r="M54" s="36">
        <f ca="1">IF(DAY(joulusu1)=1,IF(AND(YEAR(joulusu1+24)=Kalenterivuosi,MONTH(joulusu1+24)=12),joulusu1+24,""),IF(AND(YEAR(joulusu1+31)=Kalenterivuosi,MONTH(joulusu1+31)=12),joulusu1+31,""))</f>
        <v>43824</v>
      </c>
      <c r="N54" s="36">
        <f ca="1">IF(DAY(joulusu1)=1,IF(AND(YEAR(joulusu1+25)=Kalenterivuosi,MONTH(joulusu1+25)=12),joulusu1+25,""),IF(AND(YEAR(joulusu1+32)=Kalenterivuosi,MONTH(joulusu1+32)=12),joulusu1+32,""))</f>
        <v>43825</v>
      </c>
      <c r="O54" s="36">
        <f ca="1">IF(DAY(joulusu1)=1,IF(AND(YEAR(joulusu1+26)=Kalenterivuosi,MONTH(joulusu1+26)=12),joulusu1+26,""),IF(AND(YEAR(joulusu1+33)=Kalenterivuosi,MONTH(joulusu1+33)=12),joulusu1+33,""))</f>
        <v>43826</v>
      </c>
      <c r="P54" s="36">
        <f ca="1">IF(DAY(joulusu1)=1,IF(AND(YEAR(joulusu1+27)=Kalenterivuosi,MONTH(joulusu1+27)=12),joulusu1+27,""),IF(AND(YEAR(joulusu1+34)=Kalenterivuosi,MONTH(joulusu1+34)=12),joulusu1+34,""))</f>
        <v>43827</v>
      </c>
      <c r="Q54" s="36">
        <f ca="1">IF(DAY(joulusu1)=1,IF(AND(YEAR(joulusu1+28)=Kalenterivuosi,MONTH(joulusu1+28)=12),joulusu1+28,""),IF(AND(YEAR(joulusu1+35)=Kalenterivuosi,MONTH(joulusu1+35)=12),joulusu1+35,""))</f>
        <v>43828</v>
      </c>
      <c r="S54" s="5"/>
      <c r="U54" s="9"/>
    </row>
    <row r="55" spans="3:21" ht="15" customHeight="1" x14ac:dyDescent="0.2">
      <c r="C55" s="36" t="str">
        <f ca="1">IF(DAY(marrassu1)=1,IF(AND(YEAR(marrassu1+29)=Kalenterivuosi,MONTH(marrassu1+29)=11),marrassu1+29,""),IF(AND(YEAR(marrassu1+36)=Kalenterivuosi,MONTH(marrassu1+36)=11),marrassu1+36,""))</f>
        <v/>
      </c>
      <c r="D55" s="36" t="str">
        <f ca="1">IF(DAY(marrassu1)=1,IF(AND(YEAR(marrassu1+30)=Kalenterivuosi,MONTH(marrassu1+30)=11),marrassu1+30,""),IF(AND(YEAR(marrassu1+37)=Kalenterivuosi,MONTH(marrassu1+37)=11),marrassu1+37,""))</f>
        <v/>
      </c>
      <c r="E55" s="36" t="str">
        <f ca="1">IF(DAY(marrassu1)=1,IF(AND(YEAR(marrassu1+31)=Kalenterivuosi,MONTH(marrassu1+31)=11),marrassu1+31,""),IF(AND(YEAR(marrassu1+38)=Kalenterivuosi,MONTH(marrassu1+38)=11),marrassu1+38,""))</f>
        <v/>
      </c>
      <c r="F55" s="36" t="str">
        <f ca="1">IF(DAY(marrassu1)=1,IF(AND(YEAR(marrassu1+32)=Kalenterivuosi,MONTH(marrassu1+32)=11),marrassu1+32,""),IF(AND(YEAR(marrassu1+39)=Kalenterivuosi,MONTH(marrassu1+39)=11),marrassu1+39,""))</f>
        <v/>
      </c>
      <c r="G55" s="36" t="str">
        <f ca="1">IF(DAY(marrassu1)=1,IF(AND(YEAR(marrassu1+33)=Kalenterivuosi,MONTH(marrassu1+33)=11),marrassu1+33,""),IF(AND(YEAR(marrassu1+40)=Kalenterivuosi,MONTH(marrassu1+40)=11),marrassu1+40,""))</f>
        <v/>
      </c>
      <c r="H55" s="36" t="str">
        <f ca="1">IF(DAY(marrassu1)=1,IF(AND(YEAR(marrassu1+34)=Kalenterivuosi,MONTH(marrassu1+34)=11),marrassu1+34,""),IF(AND(YEAR(marrassu1+41)=Kalenterivuosi,MONTH(marrassu1+41)=11),marrassu1+41,""))</f>
        <v/>
      </c>
      <c r="I55" s="36" t="str">
        <f ca="1">IF(DAY(marrassu1)=1,IF(AND(YEAR(marrassu1+35)=Kalenterivuosi,MONTH(marrassu1+35)=11),marrassu1+35,""),IF(AND(YEAR(marrassu1+42)=Kalenterivuosi,MONTH(marrassu1+42)=11),marrassu1+42,""))</f>
        <v/>
      </c>
      <c r="J55" s="22"/>
      <c r="K55" s="36">
        <f ca="1">IF(DAY(joulusu1)=1,IF(AND(YEAR(joulusu1+29)=Kalenterivuosi,MONTH(joulusu1+29)=12),joulusu1+29,""),IF(AND(YEAR(joulusu1+36)=Kalenterivuosi,MONTH(joulusu1+36)=12),joulusu1+36,""))</f>
        <v>43829</v>
      </c>
      <c r="L55" s="36">
        <f ca="1">IF(DAY(joulusu1)=1,IF(AND(YEAR(joulusu1+30)=Kalenterivuosi,MONTH(joulusu1+30)=12),joulusu1+30,""),IF(AND(YEAR(joulusu1+37)=Kalenterivuosi,MONTH(joulusu1+37)=12),joulusu1+37,""))</f>
        <v>43830</v>
      </c>
      <c r="M55" s="36" t="str">
        <f ca="1">IF(DAY(joulusu1)=1,IF(AND(YEAR(joulusu1+31)=Kalenterivuosi,MONTH(joulusu1+31)=12),joulusu1+31,""),IF(AND(YEAR(joulusu1+38)=Kalenterivuosi,MONTH(joulusu1+38)=12),joulusu1+38,""))</f>
        <v/>
      </c>
      <c r="N55" s="36" t="str">
        <f ca="1">IF(DAY(joulusu1)=1,IF(AND(YEAR(joulusu1+32)=Kalenterivuosi,MONTH(joulusu1+32)=12),joulusu1+32,""),IF(AND(YEAR(joulusu1+39)=Kalenterivuosi,MONTH(joulusu1+39)=12),joulusu1+39,""))</f>
        <v/>
      </c>
      <c r="O55" s="36" t="str">
        <f ca="1">IF(DAY(joulusu1)=1,IF(AND(YEAR(joulusu1+33)=Kalenterivuosi,MONTH(joulusu1+33)=12),joulusu1+33,""),IF(AND(YEAR(joulusu1+40)=Kalenterivuosi,MONTH(joulusu1+40)=12),joulusu1+40,""))</f>
        <v/>
      </c>
      <c r="P55" s="36" t="str">
        <f ca="1">IF(DAY(joulusu1)=1,IF(AND(YEAR(joulusu1+34)=Kalenterivuosi,MONTH(joulusu1+34)=12),joulusu1+34,""),IF(AND(YEAR(joulusu1+41)=Kalenterivuosi,MONTH(joulusu1+41)=12),joulusu1+41,""))</f>
        <v/>
      </c>
      <c r="Q55" s="36" t="str">
        <f ca="1">IF(DAY(joulusu1)=1,IF(AND(YEAR(joulusu1+35)=Kalenterivuosi,MONTH(joulusu1+35)=12),joulusu1+35,""),IF(AND(YEAR(joulusu1+42)=Kalenterivuosi,MONTH(joulusu1+42)=12),joulusu1+42,""))</f>
        <v/>
      </c>
      <c r="S55" s="5"/>
      <c r="U55" s="9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9"/>
    </row>
    <row r="57" spans="3:21" ht="15" customHeight="1" x14ac:dyDescent="0.2">
      <c r="U57" s="9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2" type="noConversion"/>
  <dataValidations count="1">
    <dataValidation allowBlank="1" showInputMessage="1" showErrorMessage="1" errorTitle="Virheellinen vuosi" error="Kirjoita vuosi väliltä 1900–9999 tai etsi vuosi vierityspalkin avulla." sqref="C1:F1" xr:uid="{00000000-0002-0000-0000-000000000000}"/>
  </dataValidations>
  <printOptions horizontalCentered="1" verticalCentered="1"/>
  <pageMargins left="0.5" right="0.5" top="0.5" bottom="0.5" header="0.3" footer="0.3"/>
  <pageSetup paperSize="9" scale="83" orientation="portrait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Askellin">
              <controlPr defaultSize="0" print="0" autoPict="0" altText="Vaihda kalenterin vuosi askellinpainikkeen avulla tai kirjoita vuosi soluun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Vuosikalenteri</vt:lpstr>
      <vt:lpstr>Kalenterivuosi</vt:lpstr>
      <vt:lpstr>Vuosikalenteri!Tulostusalue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2017-11-29T09:38:15Z</dcterms:created>
  <dcterms:modified xsi:type="dcterms:W3CDTF">2019-06-10T08:16:41Z</dcterms:modified>
</cp:coreProperties>
</file>