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615"/>
  <workbookPr filterPrivacy="1" autoCompressPictures="0"/>
  <xr:revisionPtr revIDLastSave="0" documentId="13_ncr:1_{C23DBC3C-FAB0-49E8-9D87-CCB641B6892E}" xr6:coauthVersionLast="45" xr6:coauthVersionMax="45" xr10:uidLastSave="{00000000-0000-0000-0000-000000000000}"/>
  <bookViews>
    <workbookView xWindow="-120" yWindow="-120" windowWidth="22320" windowHeight="16125" xr2:uid="{00000000-000D-0000-FFFF-FFFF00000000}"/>
  </bookViews>
  <sheets>
    <sheet name="Algus" sheetId="2" r:id="rId1"/>
    <sheet name="Aastakalender" sheetId="1" r:id="rId2"/>
  </sheets>
  <definedNames>
    <definedName name="AprP1">DATE(Kalendriaasta,4,1)-WEEKDAY(DATE(Kalendriaasta,4,1))+1</definedName>
    <definedName name="AugP1">DATE(Kalendriaasta,8,1)-WEEKDAY(DATE(Kalendriaasta,8,1))+1</definedName>
    <definedName name="DetsP1">DATE(Kalendriaasta,12,1)-WEEKDAY(DATE(Kalendriaasta,12,1))+1</definedName>
    <definedName name="JaanP1">DATE(Kalendriaasta,1,1)-WEEKDAY(DATE(Kalendriaasta,1,1))+1</definedName>
    <definedName name="JuuliP1">DATE(Kalendriaasta,7,1)-WEEKDAY(DATE(Kalendriaasta,7,1))+1</definedName>
    <definedName name="JuuniP1">DATE(Kalendriaasta,6,1)-WEEKDAY(DATE(Kalendriaasta,6,1))+1</definedName>
    <definedName name="Kalendriaasta">Aastakalender!$C$1</definedName>
    <definedName name="MaiP1">DATE(Kalendriaasta,5,1)-WEEKDAY(DATE(Kalendriaasta,5,1))+1</definedName>
    <definedName name="MärtsP1">DATE(Kalendriaasta,3,1)-WEEKDAY(DATE(Kalendriaasta,3,1))+1</definedName>
    <definedName name="NovP1">DATE(Kalendriaasta,11,1)-WEEKDAY(DATE(Kalendriaasta,11,1))+1</definedName>
    <definedName name="OktP1">DATE(Kalendriaasta,10,1)-WEEKDAY(DATE(Kalendriaasta,10,1))+1</definedName>
    <definedName name="_xlnm.Print_Area" localSheetId="1">Aastakalender!$B$1:$W$55</definedName>
    <definedName name="SeptP1">DATE(Kalendriaasta,9,1)-WEEKDAY(DATE(Kalendriaasta,9,1))+1</definedName>
    <definedName name="VeebrP1">DATE(Kalendriaasta,2,1)-WEEKDAY(DATE(Kalendriaasta,2,1))+1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G7" i="1" l="1"/>
  <c r="Q55" i="1" l="1"/>
  <c r="P55" i="1"/>
  <c r="O55" i="1"/>
  <c r="N55" i="1"/>
  <c r="M55" i="1"/>
  <c r="L55" i="1"/>
  <c r="K55" i="1"/>
  <c r="Q54" i="1"/>
  <c r="P54" i="1"/>
  <c r="O54" i="1"/>
  <c r="N54" i="1"/>
  <c r="M54" i="1"/>
  <c r="L54" i="1"/>
  <c r="K54" i="1"/>
  <c r="Q53" i="1"/>
  <c r="P53" i="1"/>
  <c r="O53" i="1"/>
  <c r="N53" i="1"/>
  <c r="M53" i="1"/>
  <c r="L53" i="1"/>
  <c r="K53" i="1"/>
  <c r="Q52" i="1"/>
  <c r="P52" i="1"/>
  <c r="O52" i="1"/>
  <c r="N52" i="1"/>
  <c r="M52" i="1"/>
  <c r="L52" i="1"/>
  <c r="K52" i="1"/>
  <c r="Q51" i="1"/>
  <c r="P51" i="1"/>
  <c r="O51" i="1"/>
  <c r="N51" i="1"/>
  <c r="M51" i="1"/>
  <c r="L51" i="1"/>
  <c r="K51" i="1"/>
  <c r="Q50" i="1"/>
  <c r="P50" i="1"/>
  <c r="O50" i="1"/>
  <c r="N50" i="1"/>
  <c r="M50" i="1"/>
  <c r="L50" i="1"/>
  <c r="K50" i="1"/>
  <c r="I55" i="1"/>
  <c r="H55" i="1"/>
  <c r="G55" i="1"/>
  <c r="F55" i="1"/>
  <c r="E55" i="1"/>
  <c r="D55" i="1"/>
  <c r="C55" i="1"/>
  <c r="I54" i="1"/>
  <c r="H54" i="1"/>
  <c r="G54" i="1"/>
  <c r="F54" i="1"/>
  <c r="E54" i="1"/>
  <c r="D54" i="1"/>
  <c r="C54" i="1"/>
  <c r="I53" i="1"/>
  <c r="H53" i="1"/>
  <c r="G53" i="1"/>
  <c r="F53" i="1"/>
  <c r="E53" i="1"/>
  <c r="D53" i="1"/>
  <c r="C53" i="1"/>
  <c r="I52" i="1"/>
  <c r="H52" i="1"/>
  <c r="G52" i="1"/>
  <c r="F52" i="1"/>
  <c r="E52" i="1"/>
  <c r="D52" i="1"/>
  <c r="C52" i="1"/>
  <c r="I51" i="1"/>
  <c r="H51" i="1"/>
  <c r="G51" i="1"/>
  <c r="F51" i="1"/>
  <c r="E51" i="1"/>
  <c r="D51" i="1"/>
  <c r="C51" i="1"/>
  <c r="I50" i="1"/>
  <c r="H50" i="1"/>
  <c r="G50" i="1"/>
  <c r="F50" i="1"/>
  <c r="E50" i="1"/>
  <c r="D50" i="1"/>
  <c r="C50" i="1"/>
  <c r="Q46" i="1"/>
  <c r="P46" i="1"/>
  <c r="O46" i="1"/>
  <c r="N46" i="1"/>
  <c r="M46" i="1"/>
  <c r="L46" i="1"/>
  <c r="K46" i="1"/>
  <c r="Q45" i="1"/>
  <c r="P45" i="1"/>
  <c r="O45" i="1"/>
  <c r="N45" i="1"/>
  <c r="M45" i="1"/>
  <c r="L45" i="1"/>
  <c r="K45" i="1"/>
  <c r="Q44" i="1"/>
  <c r="P44" i="1"/>
  <c r="O44" i="1"/>
  <c r="N44" i="1"/>
  <c r="M44" i="1"/>
  <c r="L44" i="1"/>
  <c r="K44" i="1"/>
  <c r="Q43" i="1"/>
  <c r="P43" i="1"/>
  <c r="O43" i="1"/>
  <c r="N43" i="1"/>
  <c r="M43" i="1"/>
  <c r="L43" i="1"/>
  <c r="K43" i="1"/>
  <c r="Q42" i="1"/>
  <c r="P42" i="1"/>
  <c r="O42" i="1"/>
  <c r="N42" i="1"/>
  <c r="M42" i="1"/>
  <c r="L42" i="1"/>
  <c r="K42" i="1"/>
  <c r="Q41" i="1"/>
  <c r="P41" i="1"/>
  <c r="O41" i="1"/>
  <c r="N41" i="1"/>
  <c r="M41" i="1"/>
  <c r="L41" i="1"/>
  <c r="K41" i="1"/>
  <c r="I46" i="1"/>
  <c r="H46" i="1"/>
  <c r="G46" i="1"/>
  <c r="F46" i="1"/>
  <c r="E46" i="1"/>
  <c r="D46" i="1"/>
  <c r="C46" i="1"/>
  <c r="I45" i="1"/>
  <c r="H45" i="1"/>
  <c r="G45" i="1"/>
  <c r="F45" i="1"/>
  <c r="E45" i="1"/>
  <c r="D45" i="1"/>
  <c r="C45" i="1"/>
  <c r="I44" i="1"/>
  <c r="H44" i="1"/>
  <c r="G44" i="1"/>
  <c r="F44" i="1"/>
  <c r="E44" i="1"/>
  <c r="D44" i="1"/>
  <c r="C44" i="1"/>
  <c r="I43" i="1"/>
  <c r="H43" i="1"/>
  <c r="G43" i="1"/>
  <c r="F43" i="1"/>
  <c r="E43" i="1"/>
  <c r="D43" i="1"/>
  <c r="C43" i="1"/>
  <c r="I42" i="1"/>
  <c r="H42" i="1"/>
  <c r="G42" i="1"/>
  <c r="F42" i="1"/>
  <c r="E42" i="1"/>
  <c r="D42" i="1"/>
  <c r="C42" i="1"/>
  <c r="I41" i="1"/>
  <c r="H41" i="1"/>
  <c r="G41" i="1"/>
  <c r="F41" i="1"/>
  <c r="E41" i="1"/>
  <c r="D41" i="1"/>
  <c r="C41" i="1"/>
  <c r="Q37" i="1"/>
  <c r="P37" i="1"/>
  <c r="O37" i="1"/>
  <c r="N37" i="1"/>
  <c r="M37" i="1"/>
  <c r="L37" i="1"/>
  <c r="K37" i="1"/>
  <c r="Q36" i="1"/>
  <c r="P36" i="1"/>
  <c r="O36" i="1"/>
  <c r="N36" i="1"/>
  <c r="M36" i="1"/>
  <c r="L36" i="1"/>
  <c r="K36" i="1"/>
  <c r="Q35" i="1"/>
  <c r="P35" i="1"/>
  <c r="O35" i="1"/>
  <c r="N35" i="1"/>
  <c r="M35" i="1"/>
  <c r="L35" i="1"/>
  <c r="K35" i="1"/>
  <c r="Q34" i="1"/>
  <c r="P34" i="1"/>
  <c r="O34" i="1"/>
  <c r="N34" i="1"/>
  <c r="M34" i="1"/>
  <c r="L34" i="1"/>
  <c r="K34" i="1"/>
  <c r="Q33" i="1"/>
  <c r="P33" i="1"/>
  <c r="O33" i="1"/>
  <c r="N33" i="1"/>
  <c r="M33" i="1"/>
  <c r="L33" i="1"/>
  <c r="K33" i="1"/>
  <c r="Q32" i="1"/>
  <c r="P32" i="1"/>
  <c r="O32" i="1"/>
  <c r="N32" i="1"/>
  <c r="M32" i="1"/>
  <c r="L32" i="1"/>
  <c r="K32" i="1"/>
  <c r="I37" i="1"/>
  <c r="H37" i="1"/>
  <c r="G37" i="1"/>
  <c r="F37" i="1"/>
  <c r="E37" i="1"/>
  <c r="D37" i="1"/>
  <c r="C37" i="1"/>
  <c r="I36" i="1"/>
  <c r="H36" i="1"/>
  <c r="G36" i="1"/>
  <c r="F36" i="1"/>
  <c r="E36" i="1"/>
  <c r="D36" i="1"/>
  <c r="C36" i="1"/>
  <c r="I35" i="1"/>
  <c r="H35" i="1"/>
  <c r="G35" i="1"/>
  <c r="F35" i="1"/>
  <c r="E35" i="1"/>
  <c r="D35" i="1"/>
  <c r="C35" i="1"/>
  <c r="I34" i="1"/>
  <c r="H34" i="1"/>
  <c r="G34" i="1"/>
  <c r="F34" i="1"/>
  <c r="E34" i="1"/>
  <c r="D34" i="1"/>
  <c r="C34" i="1"/>
  <c r="I33" i="1"/>
  <c r="H33" i="1"/>
  <c r="G33" i="1"/>
  <c r="F33" i="1"/>
  <c r="E33" i="1"/>
  <c r="D33" i="1"/>
  <c r="C33" i="1"/>
  <c r="I32" i="1"/>
  <c r="H32" i="1"/>
  <c r="G32" i="1"/>
  <c r="F32" i="1"/>
  <c r="E32" i="1"/>
  <c r="D32" i="1"/>
  <c r="C32" i="1"/>
  <c r="Q28" i="1"/>
  <c r="P28" i="1"/>
  <c r="O28" i="1"/>
  <c r="N28" i="1"/>
  <c r="M28" i="1"/>
  <c r="L28" i="1"/>
  <c r="K28" i="1"/>
  <c r="Q27" i="1"/>
  <c r="P27" i="1"/>
  <c r="O27" i="1"/>
  <c r="N27" i="1"/>
  <c r="M27" i="1"/>
  <c r="L27" i="1"/>
  <c r="K27" i="1"/>
  <c r="Q26" i="1"/>
  <c r="P26" i="1"/>
  <c r="O26" i="1"/>
  <c r="N26" i="1"/>
  <c r="M26" i="1"/>
  <c r="L26" i="1"/>
  <c r="K26" i="1"/>
  <c r="Q25" i="1"/>
  <c r="P25" i="1"/>
  <c r="O25" i="1"/>
  <c r="N25" i="1"/>
  <c r="M25" i="1"/>
  <c r="L25" i="1"/>
  <c r="K25" i="1"/>
  <c r="Q24" i="1"/>
  <c r="P24" i="1"/>
  <c r="O24" i="1"/>
  <c r="N24" i="1"/>
  <c r="M24" i="1"/>
  <c r="L24" i="1"/>
  <c r="K24" i="1"/>
  <c r="Q23" i="1"/>
  <c r="P23" i="1"/>
  <c r="O23" i="1"/>
  <c r="N23" i="1"/>
  <c r="M23" i="1"/>
  <c r="L23" i="1"/>
  <c r="K23" i="1"/>
  <c r="I28" i="1"/>
  <c r="H28" i="1"/>
  <c r="G28" i="1"/>
  <c r="F28" i="1"/>
  <c r="E28" i="1"/>
  <c r="D28" i="1"/>
  <c r="C28" i="1"/>
  <c r="I27" i="1"/>
  <c r="H27" i="1"/>
  <c r="G27" i="1"/>
  <c r="F27" i="1"/>
  <c r="E27" i="1"/>
  <c r="D27" i="1"/>
  <c r="C27" i="1"/>
  <c r="I26" i="1"/>
  <c r="H26" i="1"/>
  <c r="G26" i="1"/>
  <c r="F26" i="1"/>
  <c r="E26" i="1"/>
  <c r="D26" i="1"/>
  <c r="C26" i="1"/>
  <c r="I25" i="1"/>
  <c r="H25" i="1"/>
  <c r="G25" i="1"/>
  <c r="F25" i="1"/>
  <c r="E25" i="1"/>
  <c r="D25" i="1"/>
  <c r="C25" i="1"/>
  <c r="I24" i="1"/>
  <c r="H24" i="1"/>
  <c r="G24" i="1"/>
  <c r="F24" i="1"/>
  <c r="E24" i="1"/>
  <c r="D24" i="1"/>
  <c r="C24" i="1"/>
  <c r="I23" i="1"/>
  <c r="H23" i="1"/>
  <c r="G23" i="1"/>
  <c r="F23" i="1"/>
  <c r="E23" i="1"/>
  <c r="D23" i="1"/>
  <c r="C23" i="1"/>
  <c r="Q19" i="1"/>
  <c r="P19" i="1"/>
  <c r="O19" i="1"/>
  <c r="N19" i="1"/>
  <c r="M19" i="1"/>
  <c r="L19" i="1"/>
  <c r="K19" i="1"/>
  <c r="Q18" i="1"/>
  <c r="P18" i="1"/>
  <c r="O18" i="1"/>
  <c r="N18" i="1"/>
  <c r="M18" i="1"/>
  <c r="L18" i="1"/>
  <c r="K18" i="1"/>
  <c r="Q17" i="1"/>
  <c r="P17" i="1"/>
  <c r="O17" i="1"/>
  <c r="N17" i="1"/>
  <c r="M17" i="1"/>
  <c r="L17" i="1"/>
  <c r="K17" i="1"/>
  <c r="Q16" i="1"/>
  <c r="P16" i="1"/>
  <c r="O16" i="1"/>
  <c r="N16" i="1"/>
  <c r="M16" i="1"/>
  <c r="L16" i="1"/>
  <c r="K16" i="1"/>
  <c r="Q15" i="1"/>
  <c r="P15" i="1"/>
  <c r="O15" i="1"/>
  <c r="N15" i="1"/>
  <c r="M15" i="1"/>
  <c r="L15" i="1"/>
  <c r="K15" i="1"/>
  <c r="Q14" i="1"/>
  <c r="P14" i="1"/>
  <c r="O14" i="1"/>
  <c r="N14" i="1"/>
  <c r="M14" i="1"/>
  <c r="L14" i="1"/>
  <c r="K14" i="1"/>
  <c r="I19" i="1"/>
  <c r="H19" i="1"/>
  <c r="G19" i="1"/>
  <c r="F19" i="1"/>
  <c r="E19" i="1"/>
  <c r="D19" i="1"/>
  <c r="C19" i="1"/>
  <c r="I18" i="1"/>
  <c r="H18" i="1"/>
  <c r="G18" i="1"/>
  <c r="F18" i="1"/>
  <c r="E18" i="1"/>
  <c r="D18" i="1"/>
  <c r="C18" i="1"/>
  <c r="I17" i="1"/>
  <c r="H17" i="1"/>
  <c r="G17" i="1"/>
  <c r="F17" i="1"/>
  <c r="E17" i="1"/>
  <c r="D17" i="1"/>
  <c r="C17" i="1"/>
  <c r="I16" i="1"/>
  <c r="H16" i="1"/>
  <c r="G16" i="1"/>
  <c r="F16" i="1"/>
  <c r="E16" i="1"/>
  <c r="D16" i="1"/>
  <c r="C16" i="1"/>
  <c r="I15" i="1"/>
  <c r="H15" i="1"/>
  <c r="G15" i="1"/>
  <c r="F15" i="1"/>
  <c r="E15" i="1"/>
  <c r="D15" i="1"/>
  <c r="C15" i="1"/>
  <c r="I14" i="1"/>
  <c r="H14" i="1"/>
  <c r="G14" i="1"/>
  <c r="F14" i="1"/>
  <c r="E14" i="1"/>
  <c r="D14" i="1"/>
  <c r="C14" i="1"/>
  <c r="Q10" i="1"/>
  <c r="P10" i="1"/>
  <c r="O10" i="1"/>
  <c r="N10" i="1"/>
  <c r="M10" i="1"/>
  <c r="L10" i="1"/>
  <c r="K10" i="1"/>
  <c r="Q9" i="1"/>
  <c r="P9" i="1"/>
  <c r="O9" i="1"/>
  <c r="N9" i="1"/>
  <c r="M9" i="1"/>
  <c r="L9" i="1"/>
  <c r="K9" i="1"/>
  <c r="Q8" i="1"/>
  <c r="P8" i="1"/>
  <c r="O8" i="1"/>
  <c r="N8" i="1"/>
  <c r="M8" i="1"/>
  <c r="L8" i="1"/>
  <c r="K8" i="1"/>
  <c r="Q7" i="1"/>
  <c r="P7" i="1"/>
  <c r="O7" i="1"/>
  <c r="N7" i="1"/>
  <c r="M7" i="1"/>
  <c r="L7" i="1"/>
  <c r="K7" i="1"/>
  <c r="Q6" i="1"/>
  <c r="P6" i="1"/>
  <c r="O6" i="1"/>
  <c r="N6" i="1"/>
  <c r="M6" i="1"/>
  <c r="L6" i="1"/>
  <c r="K6" i="1"/>
  <c r="Q5" i="1"/>
  <c r="P5" i="1"/>
  <c r="O5" i="1"/>
  <c r="N5" i="1"/>
  <c r="M5" i="1"/>
  <c r="L5" i="1"/>
  <c r="K5" i="1"/>
  <c r="I10" i="1"/>
  <c r="H10" i="1"/>
  <c r="G10" i="1"/>
  <c r="F10" i="1"/>
  <c r="E10" i="1"/>
  <c r="D10" i="1"/>
  <c r="C10" i="1"/>
  <c r="I9" i="1"/>
  <c r="H9" i="1"/>
  <c r="G9" i="1"/>
  <c r="F9" i="1"/>
  <c r="E9" i="1"/>
  <c r="D9" i="1"/>
  <c r="C9" i="1"/>
  <c r="I8" i="1"/>
  <c r="H8" i="1"/>
  <c r="G8" i="1"/>
  <c r="F8" i="1"/>
  <c r="E8" i="1"/>
  <c r="D8" i="1"/>
  <c r="C8" i="1"/>
  <c r="I7" i="1"/>
  <c r="H7" i="1"/>
  <c r="F7" i="1"/>
  <c r="E7" i="1"/>
  <c r="D7" i="1"/>
  <c r="C7" i="1"/>
  <c r="I6" i="1"/>
  <c r="H6" i="1"/>
  <c r="G6" i="1"/>
  <c r="F6" i="1"/>
  <c r="E6" i="1"/>
  <c r="D6" i="1"/>
  <c r="C6" i="1"/>
  <c r="I5" i="1"/>
  <c r="H5" i="1"/>
  <c r="G5" i="1"/>
  <c r="F5" i="1"/>
  <c r="E5" i="1"/>
  <c r="D5" i="1"/>
  <c r="C5" i="1"/>
</calcChain>
</file>

<file path=xl/sharedStrings.xml><?xml version="1.0" encoding="utf-8"?>
<sst xmlns="http://schemas.openxmlformats.org/spreadsheetml/2006/main" count="135" uniqueCount="58">
  <si>
    <t>TEAVE SELLE MALLI KOHTA</t>
  </si>
  <si>
    <t>Selle malli abil saate luua isikliku väikeettevõtte mis tahes aasta kalendri.</t>
  </si>
  <si>
    <t>Sisestage ettevõtte nimi ja kontaktandmed ning lisage ettevõtte logo.</t>
  </si>
  <si>
    <t>Valige aasta ja sisestage olulised kuupäevad ning sündmused.</t>
  </si>
  <si>
    <t>Märkus. </t>
  </si>
  <si>
    <t xml:space="preserve">Töölehe AASTAKALENDER veerus A on toodud lisajuhised. See tekst on tahtlikult peidetud. Teksti eemaldamiseks valige veerg A ja seejärel käsk KUSTUTA. </t>
  </si>
  <si>
    <t>Tabelite kohta lisateabe saamiseks vajutage tabelis tõstuklahvi (SHIFT) ja seejärel klahvi F10, valige suvand TABEL ja seejärel käsk ASETEKST.</t>
  </si>
  <si>
    <t>Sellel töölehel saate luua väikeettevõtte mis tahes aasta kalendri. Töölehe kasutamise kohta käivad kasulikud juhised leiate selle veeru lahtritest. Aasta muutmiseks lahtris C1 valige paremal olevas lahtris spinner. Oluliste kuupäevade silt asub lahtris U1</t>
  </si>
  <si>
    <t>Näpunäide on paremal asuvas lahtris</t>
  </si>
  <si>
    <t>Valitud aasta kalender on lahtrites C3 kuni Q55, jaanuari kalender lahtrites C4 kuni I10 ja veebruari kalender lahtrites K4 kuni Q10. Jaanuari silt on lahtris C3 ja veebruari oma lahtris K3. Sisestage olulised kuupäevad ja sündmused lahtritesse U3 kuni U42</t>
  </si>
  <si>
    <t>Jaanuari kalendritabel on lahtrites C4 kuni I10 ja veebruari kalendritabel lahtrites K4 kuni Q10. Järgmised juhised on toodud lahtris A12</t>
  </si>
  <si>
    <t>Märtsi silt on lahtris C12 ja aprilli oma lahtris K12</t>
  </si>
  <si>
    <t>Märts kalendritabel on lahtrites C13 kuni I19 ja aprilli kalendritabel lahtrites K13 kuni Q19. Järgmised juhised on toodud lahtris A21</t>
  </si>
  <si>
    <t>Mai silt on lahtris C21 ja juuni oma lahtris K21</t>
  </si>
  <si>
    <t>Mai kalendritabel on lahtrites C22 kuni I28 ja juuni kalendritabel lahtrites K22 kuni Q28. Järgmised juhised on toodud lahtris A30</t>
  </si>
  <si>
    <t>Juuli silt on lahtris C30 ja augusti oma lahtris K30</t>
  </si>
  <si>
    <t>Juuli kalendritabel on lahtrites C31 kuni I37 ja augusti kalendritabel lahtrites K31 kuni Q37. Järgmised juhised on toodud lahtris A39</t>
  </si>
  <si>
    <t>Septembri silt on lahtris C39 ja oktoobri oma lahtris K39</t>
  </si>
  <si>
    <t>Septembri kalendritabel on lahtrites C40 kuni I46 ja oktoobri kalender lahtrites K40 kuni Q46. Järgmised juhised on toodud lahtris A44</t>
  </si>
  <si>
    <t>Sisestage tänav ja maja lahtrisse U44</t>
  </si>
  <si>
    <t>Sisestage linn, maakond ja sihtnumber lahtrisse U45. Järgmised juhised on toodud lahtris A47</t>
  </si>
  <si>
    <t>Sisestage ettevõtte telefoninumber lahtrisse U47</t>
  </si>
  <si>
    <t>Novembri silt on lahtris C48 ja detsembri oma lahtris K48. Sisestage meiliaadress lahtrisse U48</t>
  </si>
  <si>
    <t>Novembri kalendritabel on lahtrites C49 kuni I55 ja detsembri kalender lahtrites K49 kuni Q55. Järgmised juhised on toodud lahtris A51</t>
  </si>
  <si>
    <t>Sisestage ettevõtte logo lahtrisse U51</t>
  </si>
  <si>
    <t>Kalendriaasta vahetamiseks kasutage spinnerit</t>
  </si>
  <si>
    <t>JAANUAR</t>
  </si>
  <si>
    <t>E</t>
  </si>
  <si>
    <t>MÄRTS</t>
  </si>
  <si>
    <t>MAI</t>
  </si>
  <si>
    <t>JUULI</t>
  </si>
  <si>
    <t>SEPTEMBER</t>
  </si>
  <si>
    <t>NOVEMBER</t>
  </si>
  <si>
    <t>T</t>
  </si>
  <si>
    <t>K</t>
  </si>
  <si>
    <t>N</t>
  </si>
  <si>
    <t>R</t>
  </si>
  <si>
    <t>L</t>
  </si>
  <si>
    <t>P</t>
  </si>
  <si>
    <t>VEEBRUAR</t>
  </si>
  <si>
    <t>APRILL</t>
  </si>
  <si>
    <t>JUUNI</t>
  </si>
  <si>
    <t>AUGUST</t>
  </si>
  <si>
    <t>OKTOOBER</t>
  </si>
  <si>
    <t>DETSEMBER</t>
  </si>
  <si>
    <t>OLULISED KUUPÄEVAD</t>
  </si>
  <si>
    <t>1. JAANUAR</t>
  </si>
  <si>
    <t>UUSAASTA</t>
  </si>
  <si>
    <t>14. VEEBRUAR</t>
  </si>
  <si>
    <t>SÕBRAPÄEV</t>
  </si>
  <si>
    <t>22. VEEBRUAR</t>
  </si>
  <si>
    <t>AVATUD USTE PÄEV</t>
  </si>
  <si>
    <t>Tänav, maja</t>
  </si>
  <si>
    <t>Linn, maakond, sihtnumber</t>
  </si>
  <si>
    <t>Telefon</t>
  </si>
  <si>
    <t>Meiliaadress</t>
  </si>
  <si>
    <t>Veebisait</t>
  </si>
  <si>
    <t>Selles lahtris on logo kohatäide.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</si>
</sst>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2" formatCode="_-* #,##0\ &quot;€&quot;_-;\-* #,##0\ &quot;€&quot;_-;_-* &quot;-&quot;\ &quot;€&quot;_-;_-@_-"/>
    <numFmt numFmtId="44" formatCode="_-* #,##0.00\ &quot;€&quot;_-;\-* #,##0.00\ &quot;€&quot;_-;_-* &quot;-&quot;??\ &quot;€&quot;_-;_-@_-"/>
    <numFmt numFmtId="164" formatCode="_(* #,##0_);_(* \(#,##0\);_(* &quot;-&quot;_);_(@_)"/>
    <numFmt numFmtId="165" formatCode="_(* #,##0.00_);_(* \(#,##0.00\);_(* &quot;-&quot;??_);_(@_)"/>
    <numFmt numFmtId="166" formatCode=";;;"/>
    <numFmt numFmtId="167" formatCode="d"/>
  </numFmts>
  <fonts count="37" x14ac:knownFonts="1">
    <font>
      <sz val="8"/>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
      <name val="Calibri"/>
      <family val="2"/>
      <scheme val="minor"/>
    </font>
    <font>
      <b/>
      <sz val="12"/>
      <color theme="1"/>
      <name val="Calibri"/>
      <family val="2"/>
      <scheme val="major"/>
    </font>
    <font>
      <b/>
      <sz val="26"/>
      <color theme="0"/>
      <name val="Calibri"/>
      <family val="2"/>
      <scheme val="major"/>
    </font>
    <font>
      <sz val="8"/>
      <color theme="0"/>
      <name val="Calibri"/>
      <family val="2"/>
      <scheme val="minor"/>
    </font>
    <font>
      <b/>
      <sz val="13.5"/>
      <color theme="0"/>
      <name val="Calibri"/>
      <family val="2"/>
      <scheme val="major"/>
    </font>
    <font>
      <sz val="9"/>
      <color theme="1"/>
      <name val="Calibri"/>
      <family val="2"/>
      <scheme val="minor"/>
    </font>
    <font>
      <sz val="9"/>
      <color theme="8"/>
      <name val="Calibri"/>
      <family val="2"/>
      <scheme val="minor"/>
    </font>
    <font>
      <sz val="9"/>
      <color theme="1" tint="0.14999847407452621"/>
      <name val="Calibri"/>
      <family val="2"/>
      <scheme val="minor"/>
    </font>
    <font>
      <i/>
      <sz val="10"/>
      <color theme="8" tint="-0.499984740745262"/>
      <name val="Calibri"/>
      <family val="2"/>
      <scheme val="minor"/>
    </font>
    <font>
      <b/>
      <sz val="9.5"/>
      <color theme="8" tint="-0.499984740745262"/>
      <name val="Calibri"/>
      <family val="2"/>
      <scheme val="major"/>
    </font>
    <font>
      <sz val="9"/>
      <color theme="8" tint="-0.499984740745262"/>
      <name val="Calibri"/>
      <family val="2"/>
      <scheme val="minor"/>
    </font>
    <font>
      <sz val="8"/>
      <color theme="8" tint="-0.499984740745262"/>
      <name val="Calibri"/>
      <family val="2"/>
      <scheme val="minor"/>
    </font>
    <font>
      <b/>
      <sz val="8"/>
      <color theme="1" tint="0.34998626667073579"/>
      <name val="Calibri"/>
      <family val="2"/>
      <scheme val="minor"/>
    </font>
    <font>
      <b/>
      <sz val="13"/>
      <color theme="3"/>
      <name val="Calibri"/>
      <family val="2"/>
      <scheme val="minor"/>
    </font>
    <font>
      <b/>
      <sz val="11"/>
      <color theme="1"/>
      <name val="Calibri"/>
      <family val="2"/>
      <scheme val="minor"/>
    </font>
    <font>
      <b/>
      <sz val="16"/>
      <color theme="0"/>
      <name val="Calibri"/>
      <family val="2"/>
      <scheme val="major"/>
    </font>
    <font>
      <sz val="8"/>
      <color theme="1"/>
      <name val="Calibri"/>
      <family val="2"/>
      <scheme val="minor"/>
    </font>
    <font>
      <sz val="18"/>
      <color theme="3"/>
      <name val="Calibri"/>
      <family val="2"/>
      <scheme val="major"/>
    </font>
    <font>
      <b/>
      <sz val="15"/>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s>
  <fills count="35">
    <fill>
      <patternFill patternType="none"/>
    </fill>
    <fill>
      <patternFill patternType="gray125"/>
    </fill>
    <fill>
      <patternFill patternType="solid">
        <fgColor theme="8"/>
        <bgColor indexed="64"/>
      </patternFill>
    </fill>
    <fill>
      <patternFill patternType="solid">
        <fgColor theme="8" tint="-0.49998474074526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1">
    <border>
      <left/>
      <right/>
      <top/>
      <bottom/>
      <diagonal/>
    </border>
    <border>
      <left/>
      <right/>
      <top style="thin">
        <color theme="8"/>
      </top>
      <bottom/>
      <diagonal/>
    </border>
    <border>
      <left/>
      <right/>
      <top/>
      <bottom style="thick">
        <color theme="4" tint="0.499984740745262"/>
      </bottom>
      <diagonal/>
    </border>
    <border>
      <left/>
      <right/>
      <top/>
      <bottom style="thick">
        <color theme="4"/>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7">
    <xf numFmtId="0" fontId="0" fillId="0" borderId="0"/>
    <xf numFmtId="0" fontId="19" fillId="0" borderId="2" applyNumberFormat="0" applyFill="0" applyAlignment="0" applyProtection="0"/>
    <xf numFmtId="165" fontId="22" fillId="0" borderId="0" applyFont="0" applyFill="0" applyBorder="0" applyAlignment="0" applyProtection="0"/>
    <xf numFmtId="164" fontId="22" fillId="0" borderId="0" applyFont="0" applyFill="0" applyBorder="0" applyAlignment="0" applyProtection="0"/>
    <xf numFmtId="44" fontId="22" fillId="0" borderId="0" applyFont="0" applyFill="0" applyBorder="0" applyAlignment="0" applyProtection="0"/>
    <xf numFmtId="42" fontId="22" fillId="0" borderId="0" applyFont="0" applyFill="0" applyBorder="0" applyAlignment="0" applyProtection="0"/>
    <xf numFmtId="9" fontId="22" fillId="0" borderId="0" applyFont="0" applyFill="0" applyBorder="0" applyAlignment="0" applyProtection="0"/>
    <xf numFmtId="0" fontId="23" fillId="0" borderId="0" applyNumberFormat="0" applyFill="0" applyBorder="0" applyAlignment="0" applyProtection="0"/>
    <xf numFmtId="0" fontId="24" fillId="0" borderId="3" applyNumberFormat="0" applyFill="0" applyAlignment="0" applyProtection="0"/>
    <xf numFmtId="0" fontId="25" fillId="0" borderId="4" applyNumberFormat="0" applyFill="0" applyAlignment="0" applyProtection="0"/>
    <xf numFmtId="0" fontId="25" fillId="0" borderId="0" applyNumberFormat="0" applyFill="0" applyBorder="0" applyAlignment="0" applyProtection="0"/>
    <xf numFmtId="0" fontId="26" fillId="4" borderId="0" applyNumberFormat="0" applyBorder="0" applyAlignment="0" applyProtection="0"/>
    <xf numFmtId="0" fontId="27" fillId="5" borderId="0" applyNumberFormat="0" applyBorder="0" applyAlignment="0" applyProtection="0"/>
    <xf numFmtId="0" fontId="28" fillId="6" borderId="0" applyNumberFormat="0" applyBorder="0" applyAlignment="0" applyProtection="0"/>
    <xf numFmtId="0" fontId="29" fillId="7" borderId="5" applyNumberFormat="0" applyAlignment="0" applyProtection="0"/>
    <xf numFmtId="0" fontId="30" fillId="8" borderId="6" applyNumberFormat="0" applyAlignment="0" applyProtection="0"/>
    <xf numFmtId="0" fontId="31" fillId="8" borderId="5" applyNumberFormat="0" applyAlignment="0" applyProtection="0"/>
    <xf numFmtId="0" fontId="32" fillId="0" borderId="7" applyNumberFormat="0" applyFill="0" applyAlignment="0" applyProtection="0"/>
    <xf numFmtId="0" fontId="33" fillId="9" borderId="8" applyNumberFormat="0" applyAlignment="0" applyProtection="0"/>
    <xf numFmtId="0" fontId="34" fillId="0" borderId="0" applyNumberFormat="0" applyFill="0" applyBorder="0" applyAlignment="0" applyProtection="0"/>
    <xf numFmtId="0" fontId="22" fillId="10" borderId="9" applyNumberFormat="0" applyFont="0" applyAlignment="0" applyProtection="0"/>
    <xf numFmtId="0" fontId="35" fillId="0" borderId="0" applyNumberFormat="0" applyFill="0" applyBorder="0" applyAlignment="0" applyProtection="0"/>
    <xf numFmtId="0" fontId="20" fillId="0" borderId="10" applyNumberFormat="0" applyFill="0" applyAlignment="0" applyProtection="0"/>
    <xf numFmtId="0" fontId="36"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36"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36"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36"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36"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36"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cellStyleXfs>
  <cellXfs count="31">
    <xf numFmtId="0" fontId="0" fillId="0" borderId="0" xfId="0"/>
    <xf numFmtId="49" fontId="12" fillId="0" borderId="0" xfId="0" applyNumberFormat="1" applyFont="1"/>
    <xf numFmtId="49" fontId="0" fillId="0" borderId="0" xfId="0" applyNumberFormat="1" applyAlignment="1">
      <alignment horizontal="left"/>
    </xf>
    <xf numFmtId="49" fontId="13" fillId="0" borderId="0" xfId="0" applyNumberFormat="1" applyFont="1" applyAlignment="1">
      <alignment horizontal="left"/>
    </xf>
    <xf numFmtId="0" fontId="0" fillId="3" borderId="0" xfId="0" applyFill="1"/>
    <xf numFmtId="0" fontId="8" fillId="3" borderId="0" xfId="0" applyFont="1" applyFill="1" applyAlignment="1">
      <alignment vertical="center"/>
    </xf>
    <xf numFmtId="0" fontId="9" fillId="3" borderId="0" xfId="0" applyFont="1" applyFill="1"/>
    <xf numFmtId="0" fontId="10" fillId="3" borderId="0" xfId="0" applyFont="1" applyFill="1" applyAlignment="1">
      <alignment vertical="center"/>
    </xf>
    <xf numFmtId="49" fontId="16" fillId="0" borderId="1" xfId="0" applyNumberFormat="1" applyFont="1" applyBorder="1"/>
    <xf numFmtId="49" fontId="16" fillId="0" borderId="0" xfId="0" applyNumberFormat="1" applyFont="1"/>
    <xf numFmtId="49" fontId="17" fillId="0" borderId="0" xfId="0" applyNumberFormat="1" applyFont="1" applyAlignment="1">
      <alignment horizontal="left"/>
    </xf>
    <xf numFmtId="0" fontId="18" fillId="0" borderId="0" xfId="0" applyFont="1" applyAlignment="1">
      <alignment horizontal="center"/>
    </xf>
    <xf numFmtId="0" fontId="5" fillId="0" borderId="0" xfId="0" applyFont="1" applyAlignment="1">
      <alignment vertical="center" wrapText="1"/>
    </xf>
    <xf numFmtId="0" fontId="21" fillId="3" borderId="0" xfId="1" applyFont="1" applyFill="1" applyBorder="1" applyAlignment="1">
      <alignment horizontal="center" vertical="center"/>
    </xf>
    <xf numFmtId="0" fontId="4" fillId="0" borderId="0" xfId="0" applyFont="1" applyAlignment="1">
      <alignment vertical="center" wrapText="1"/>
    </xf>
    <xf numFmtId="0" fontId="20" fillId="0" borderId="0" xfId="0" applyFont="1" applyAlignment="1">
      <alignment wrapText="1"/>
    </xf>
    <xf numFmtId="0" fontId="0" fillId="0" borderId="0" xfId="0" applyAlignment="1">
      <alignment vertical="center"/>
    </xf>
    <xf numFmtId="166" fontId="0" fillId="0" borderId="0" xfId="0" applyNumberFormat="1" applyAlignment="1">
      <alignment wrapText="1"/>
    </xf>
    <xf numFmtId="166" fontId="3" fillId="0" borderId="0" xfId="0" applyNumberFormat="1" applyFont="1" applyAlignment="1">
      <alignment vertical="center"/>
    </xf>
    <xf numFmtId="166" fontId="0" fillId="0" borderId="0" xfId="0" applyNumberFormat="1"/>
    <xf numFmtId="0" fontId="2" fillId="0" borderId="0" xfId="0" applyFont="1" applyAlignment="1">
      <alignment vertical="center" wrapText="1"/>
    </xf>
    <xf numFmtId="0" fontId="7" fillId="0" borderId="0" xfId="0" applyFont="1"/>
    <xf numFmtId="0" fontId="0" fillId="0" borderId="0" xfId="0" applyAlignment="1">
      <alignment horizontal="center"/>
    </xf>
    <xf numFmtId="0" fontId="11" fillId="0" borderId="0" xfId="0" applyFont="1"/>
    <xf numFmtId="0" fontId="0" fillId="2" borderId="0" xfId="0" applyFill="1"/>
    <xf numFmtId="167" fontId="0" fillId="0" borderId="0" xfId="0" applyNumberFormat="1" applyAlignment="1">
      <alignment horizontal="center"/>
    </xf>
    <xf numFmtId="0" fontId="8" fillId="3" borderId="0" xfId="0" applyFont="1" applyFill="1" applyAlignment="1">
      <alignment horizontal="left" vertical="center"/>
    </xf>
    <xf numFmtId="0" fontId="14" fillId="0" borderId="0" xfId="0" applyFont="1" applyAlignment="1">
      <alignment horizontal="left" vertical="center" indent="2"/>
    </xf>
    <xf numFmtId="0" fontId="15" fillId="0" borderId="0" xfId="0" applyFont="1" applyAlignment="1">
      <alignment horizontal="left"/>
    </xf>
    <xf numFmtId="166" fontId="0" fillId="0" borderId="0" xfId="0" applyNumberFormat="1" applyAlignment="1">
      <alignment horizontal="center"/>
    </xf>
    <xf numFmtId="0" fontId="0" fillId="0" borderId="0" xfId="0" applyAlignment="1">
      <alignment horizontal="center"/>
    </xf>
  </cellXfs>
  <cellStyles count="47">
    <cellStyle name="20% – rõhk1" xfId="24" builtinId="30" customBuiltin="1"/>
    <cellStyle name="20% – rõhk2" xfId="28" builtinId="34" customBuiltin="1"/>
    <cellStyle name="20% – rõhk3" xfId="32" builtinId="38" customBuiltin="1"/>
    <cellStyle name="20% – rõhk4" xfId="36" builtinId="42" customBuiltin="1"/>
    <cellStyle name="20% – rõhk5" xfId="40" builtinId="46" customBuiltin="1"/>
    <cellStyle name="20% – rõhk6" xfId="44" builtinId="50" customBuiltin="1"/>
    <cellStyle name="40% – rõhk1" xfId="25" builtinId="31" customBuiltin="1"/>
    <cellStyle name="40% – rõhk2" xfId="29" builtinId="35" customBuiltin="1"/>
    <cellStyle name="40% – rõhk3" xfId="33" builtinId="39" customBuiltin="1"/>
    <cellStyle name="40% – rõhk4" xfId="37" builtinId="43" customBuiltin="1"/>
    <cellStyle name="40% – rõhk5" xfId="41" builtinId="47" customBuiltin="1"/>
    <cellStyle name="40% – rõhk6" xfId="45" builtinId="51" customBuiltin="1"/>
    <cellStyle name="60% – rõhk1" xfId="26" builtinId="32" customBuiltin="1"/>
    <cellStyle name="60% – rõhk2" xfId="30" builtinId="36" customBuiltin="1"/>
    <cellStyle name="60% – rõhk3" xfId="34" builtinId="40" customBuiltin="1"/>
    <cellStyle name="60% – rõhk4" xfId="38" builtinId="44" customBuiltin="1"/>
    <cellStyle name="60% – rõhk5" xfId="42" builtinId="48" customBuiltin="1"/>
    <cellStyle name="60% – rõhk6" xfId="46" builtinId="52" customBuiltin="1"/>
    <cellStyle name="Arvutus" xfId="16" builtinId="22" customBuiltin="1"/>
    <cellStyle name="Halb" xfId="12" builtinId="27" customBuiltin="1"/>
    <cellStyle name="Hea" xfId="11" builtinId="26" customBuiltin="1"/>
    <cellStyle name="Hoiatuse tekst" xfId="19" builtinId="11" customBuiltin="1"/>
    <cellStyle name="Kokku" xfId="22" builtinId="25" customBuiltin="1"/>
    <cellStyle name="Koma" xfId="2" builtinId="3" customBuiltin="1"/>
    <cellStyle name="Koma [0]" xfId="3" builtinId="6" customBuiltin="1"/>
    <cellStyle name="Kontrolli lahtrit" xfId="18" builtinId="23" customBuiltin="1"/>
    <cellStyle name="Lingitud lahter" xfId="17" builtinId="24" customBuiltin="1"/>
    <cellStyle name="Märkus" xfId="20" builtinId="10" customBuiltin="1"/>
    <cellStyle name="Neutraalne" xfId="13" builtinId="28" customBuiltin="1"/>
    <cellStyle name="Normaallaad" xfId="0" builtinId="0" customBuiltin="1"/>
    <cellStyle name="Pealkiri 1" xfId="8" builtinId="16" customBuiltin="1"/>
    <cellStyle name="Pealkiri 2" xfId="1" builtinId="17" customBuiltin="1"/>
    <cellStyle name="Pealkiri 3" xfId="9" builtinId="18" customBuiltin="1"/>
    <cellStyle name="Pealkiri 4" xfId="10" builtinId="19" customBuiltin="1"/>
    <cellStyle name="Protsent" xfId="6" builtinId="5" customBuiltin="1"/>
    <cellStyle name="Rõhk1" xfId="23" builtinId="29" customBuiltin="1"/>
    <cellStyle name="Rõhk2" xfId="27" builtinId="33" customBuiltin="1"/>
    <cellStyle name="Rõhk3" xfId="31" builtinId="37" customBuiltin="1"/>
    <cellStyle name="Rõhk4" xfId="35" builtinId="41" customBuiltin="1"/>
    <cellStyle name="Rõhk5" xfId="39" builtinId="45" customBuiltin="1"/>
    <cellStyle name="Rõhk6" xfId="43" builtinId="49" customBuiltin="1"/>
    <cellStyle name="Selgitav tekst" xfId="21" builtinId="53" customBuiltin="1"/>
    <cellStyle name="Sisend" xfId="14" builtinId="20" customBuiltin="1"/>
    <cellStyle name="Valuuta" xfId="4" builtinId="4" customBuiltin="1"/>
    <cellStyle name="Valuuta [0]" xfId="5" builtinId="7" customBuiltin="1"/>
    <cellStyle name="Väljund" xfId="15" builtinId="21" customBuiltin="1"/>
    <cellStyle name="Üldpealkiri" xfId="7" builtinId="15" customBuiltin="1"/>
  </cellStyles>
  <dxfs count="108">
    <dxf>
      <font>
        <b val="0"/>
        <i val="0"/>
        <strike val="0"/>
        <condense val="0"/>
        <extend val="0"/>
        <outline val="0"/>
        <shadow val="0"/>
        <u val="none"/>
        <vertAlign val="baseline"/>
        <sz val="8"/>
        <color theme="1"/>
        <name val="Calibri"/>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7" formatCode="d"/>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7" formatCode="d"/>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7" formatCode="d"/>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7" formatCode="d"/>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7" formatCode="d"/>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7" formatCode="d"/>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7" formatCode="d"/>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7" formatCode="d"/>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7" formatCode="d"/>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7" formatCode="d"/>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7" formatCode="d"/>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7" formatCode="d"/>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indexed="65"/>
        </patternFill>
      </fill>
      <alignment horizontal="center" vertical="bottom"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trlProps/ctrlProp1.xml><?xml version="1.0" encoding="utf-8"?>
<formControlPr xmlns="http://schemas.microsoft.com/office/spreadsheetml/2009/9/main" objectType="Spin" dx="16" fmlaLink="$C$1" max="2999" min="1900" page="10" val="2020"/>
</file>

<file path=xl/drawings/_rels/drawing1.xml.rels><?xml version="1.0" encoding="UTF-8" standalone="yes"?>
<Relationships xmlns="http://schemas.openxmlformats.org/package/2006/relationships"><Relationship Id="rId2" Type="http://schemas.openxmlformats.org/officeDocument/2006/relationships/image" Target="../media/image4.jpg"/><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21</xdr:col>
      <xdr:colOff>142875</xdr:colOff>
      <xdr:row>2</xdr:row>
      <xdr:rowOff>114299</xdr:rowOff>
    </xdr:from>
    <xdr:to>
      <xdr:col>22</xdr:col>
      <xdr:colOff>682625</xdr:colOff>
      <xdr:row>47</xdr:row>
      <xdr:rowOff>66674</xdr:rowOff>
    </xdr:to>
    <xdr:pic>
      <xdr:nvPicPr>
        <xdr:cNvPr id="2" name="Lehed" descr="Kuus lehte on paigutatud paaridena ja üksikuna erinevate vahemaade tagant">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duotone>
            <a:schemeClr val="accent5">
              <a:shade val="45000"/>
              <a:satMod val="135000"/>
            </a:schemeClr>
            <a:prstClr val="white"/>
          </a:duotone>
          <a:extLst>
            <a:ext uri="{28A0092B-C50C-407E-A947-70E740481C1C}">
              <a14:useLocalDpi xmlns:a14="http://schemas.microsoft.com/office/drawing/2010/main" val="0"/>
            </a:ext>
          </a:extLst>
        </a:blip>
        <a:srcRect/>
        <a:stretch/>
      </xdr:blipFill>
      <xdr:spPr>
        <a:xfrm>
          <a:off x="6581775" y="685799"/>
          <a:ext cx="1095375" cy="8524875"/>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xdr:col>
          <xdr:colOff>114300</xdr:colOff>
          <xdr:row>0</xdr:row>
          <xdr:rowOff>38100</xdr:rowOff>
        </xdr:from>
        <xdr:to>
          <xdr:col>1</xdr:col>
          <xdr:colOff>266700</xdr:colOff>
          <xdr:row>0</xdr:row>
          <xdr:rowOff>342900</xdr:rowOff>
        </xdr:to>
        <xdr:sp macro="" textlink="">
          <xdr:nvSpPr>
            <xdr:cNvPr id="1033" name="Spinner" descr="Kalendriaasta muutmiseks kasutage spinneri nuppu või sisestage soovitud aasta lahtrisse C1." hidden="1">
              <a:extLst>
                <a:ext uri="{63B3BB69-23CF-44E3-9099-C40C66FF867C}">
                  <a14:compatExt spid="_x0000_s1033"/>
                </a:ext>
                <a:ext uri="{FF2B5EF4-FFF2-40B4-BE49-F238E27FC236}">
                  <a16:creationId xmlns:a16="http://schemas.microsoft.com/office/drawing/2014/main" id="{00000000-0008-0000-0100-0000090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twoCellAnchor editAs="oneCell">
    <xdr:from>
      <xdr:col>20</xdr:col>
      <xdr:colOff>47625</xdr:colOff>
      <xdr:row>50</xdr:row>
      <xdr:rowOff>152804</xdr:rowOff>
    </xdr:from>
    <xdr:to>
      <xdr:col>20</xdr:col>
      <xdr:colOff>1028700</xdr:colOff>
      <xdr:row>54</xdr:row>
      <xdr:rowOff>180569</xdr:rowOff>
    </xdr:to>
    <xdr:pic>
      <xdr:nvPicPr>
        <xdr:cNvPr id="3" name="Logo" descr="Logo kohatäide ettevõtte logo loomiseks">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257800" y="9868304"/>
          <a:ext cx="981075" cy="789765"/>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0000000}" name="September" displayName="September" ref="C40:I46" totalsRowShown="0" headerRowDxfId="107" dataDxfId="106">
  <autoFilter ref="C40:I46" xr:uid="{00000000-0009-0000-0100-000009000000}">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00000000-0010-0000-0000-000001000000}" name="E" dataDxfId="105"/>
    <tableColumn id="2" xr3:uid="{00000000-0010-0000-0000-000002000000}" name="T" dataDxfId="104"/>
    <tableColumn id="3" xr3:uid="{00000000-0010-0000-0000-000003000000}" name="K" dataDxfId="103"/>
    <tableColumn id="4" xr3:uid="{00000000-0010-0000-0000-000004000000}" name="N" dataDxfId="102"/>
    <tableColumn id="5" xr3:uid="{00000000-0010-0000-0000-000005000000}" name="R" dataDxfId="101"/>
    <tableColumn id="6" xr3:uid="{00000000-0010-0000-0000-000006000000}" name="L" dataDxfId="100"/>
    <tableColumn id="7" xr3:uid="{00000000-0010-0000-0000-000007000000}" name="P" dataDxfId="99"/>
  </tableColumns>
  <tableStyleInfo showFirstColumn="0" showLastColumn="0" showRowStripes="0" showColumnStripes="0"/>
  <extLst>
    <ext xmlns:x14="http://schemas.microsoft.com/office/spreadsheetml/2009/9/main" uri="{504A1905-F514-4f6f-8877-14C23A59335A}">
      <x14:table altTextSummary="Septembri kalender värskendatakse selles tabelis automaatselt koos nädalapäevade nimede ja kuupäevadega"/>
    </ext>
  </extLst>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09000000}" name="Aprill" displayName="Aprill" ref="K13:Q19" totalsRowShown="0" headerRowDxfId="26" dataDxfId="25">
  <autoFilter ref="K13:Q19" xr:uid="{00000000-0009-0000-0100-000012000000}">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00000000-0010-0000-0900-000001000000}" name="E" dataDxfId="24"/>
    <tableColumn id="2" xr3:uid="{00000000-0010-0000-0900-000002000000}" name="T" dataDxfId="23"/>
    <tableColumn id="3" xr3:uid="{00000000-0010-0000-0900-000003000000}" name="K" dataDxfId="22"/>
    <tableColumn id="4" xr3:uid="{00000000-0010-0000-0900-000004000000}" name="N" dataDxfId="21"/>
    <tableColumn id="5" xr3:uid="{00000000-0010-0000-0900-000005000000}" name="R" dataDxfId="20"/>
    <tableColumn id="6" xr3:uid="{00000000-0010-0000-0900-000006000000}" name="L" dataDxfId="19"/>
    <tableColumn id="7" xr3:uid="{00000000-0010-0000-0900-000007000000}" name="P" dataDxfId="18"/>
  </tableColumns>
  <tableStyleInfo showFirstColumn="0" showLastColumn="0" showRowStripes="0" showColumnStripes="0"/>
  <extLst>
    <ext xmlns:x14="http://schemas.microsoft.com/office/spreadsheetml/2009/9/main" uri="{504A1905-F514-4f6f-8877-14C23A59335A}">
      <x14:table altTextSummary="Aprilli kalender värskendatakse selles tabelis automaatselt koos nädalapäevade nimede ja kuupäevadega"/>
    </ext>
  </extLst>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0A000000}" name="Veebruar" displayName="Veebruar" ref="K4:Q10" totalsRowShown="0" headerRowDxfId="17" dataDxfId="16">
  <autoFilter ref="K4:Q10" xr:uid="{00000000-0009-0000-0100-000013000000}">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00000000-0010-0000-0A00-000001000000}" name="E" dataDxfId="15"/>
    <tableColumn id="2" xr3:uid="{00000000-0010-0000-0A00-000002000000}" name="T" dataDxfId="14"/>
    <tableColumn id="3" xr3:uid="{00000000-0010-0000-0A00-000003000000}" name="K" dataDxfId="13"/>
    <tableColumn id="4" xr3:uid="{00000000-0010-0000-0A00-000004000000}" name="N" dataDxfId="12"/>
    <tableColumn id="5" xr3:uid="{00000000-0010-0000-0A00-000005000000}" name="R" dataDxfId="11"/>
    <tableColumn id="6" xr3:uid="{00000000-0010-0000-0A00-000006000000}" name="L" dataDxfId="10"/>
    <tableColumn id="7" xr3:uid="{00000000-0010-0000-0A00-000007000000}" name="P" dataDxfId="9"/>
  </tableColumns>
  <tableStyleInfo showFirstColumn="0" showLastColumn="0" showRowStripes="0" showColumnStripes="0"/>
  <extLst>
    <ext xmlns:x14="http://schemas.microsoft.com/office/spreadsheetml/2009/9/main" uri="{504A1905-F514-4f6f-8877-14C23A59335A}">
      <x14:table altTextSummary="Veebruari kalender värskendatakse selles tabelis automaatselt koos nädalapäevade nimede ja kuupäevadega"/>
    </ext>
  </extLst>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0B000000}" name="Jaanuar" displayName="Jaanuar" ref="C4:I10" totalsRowShown="0" headerRowDxfId="8" dataDxfId="7">
  <autoFilter ref="C4:I10" xr:uid="{00000000-0009-0000-0100-000014000000}">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00000000-0010-0000-0B00-000001000000}" name="E" dataDxfId="6"/>
    <tableColumn id="2" xr3:uid="{00000000-0010-0000-0B00-000002000000}" name="T" dataDxfId="5"/>
    <tableColumn id="3" xr3:uid="{00000000-0010-0000-0B00-000003000000}" name="K" dataDxfId="4"/>
    <tableColumn id="4" xr3:uid="{00000000-0010-0000-0B00-000004000000}" name="N" dataDxfId="3"/>
    <tableColumn id="5" xr3:uid="{00000000-0010-0000-0B00-000005000000}" name="R" dataDxfId="2"/>
    <tableColumn id="6" xr3:uid="{00000000-0010-0000-0B00-000006000000}" name="L" dataDxfId="1"/>
    <tableColumn id="7" xr3:uid="{00000000-0010-0000-0B00-000007000000}" name="P" dataDxfId="0"/>
  </tableColumns>
  <tableStyleInfo showFirstColumn="0" showLastColumn="0" showRowStripes="0" showColumnStripes="0"/>
  <extLst>
    <ext xmlns:x14="http://schemas.microsoft.com/office/spreadsheetml/2009/9/main" uri="{504A1905-F514-4f6f-8877-14C23A59335A}">
      <x14:table altTextSummary="Jaanuari kalender värskendatakse selles tabelis automaatselt koos nädalapäevade nimede ja kuupäevadega"/>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1000000}" name="Oktoober" displayName="Oktoober" ref="K40:Q46" totalsRowShown="0" headerRowDxfId="98" dataDxfId="97">
  <autoFilter ref="K40:Q46" xr:uid="{00000000-0009-0000-0100-00000A000000}">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00000000-0010-0000-0100-000001000000}" name="E" dataDxfId="96"/>
    <tableColumn id="2" xr3:uid="{00000000-0010-0000-0100-000002000000}" name="T" dataDxfId="95"/>
    <tableColumn id="3" xr3:uid="{00000000-0010-0000-0100-000003000000}" name="K" dataDxfId="94"/>
    <tableColumn id="4" xr3:uid="{00000000-0010-0000-0100-000004000000}" name="N" dataDxfId="93"/>
    <tableColumn id="5" xr3:uid="{00000000-0010-0000-0100-000005000000}" name="R" dataDxfId="92"/>
    <tableColumn id="6" xr3:uid="{00000000-0010-0000-0100-000006000000}" name="L" dataDxfId="91"/>
    <tableColumn id="7" xr3:uid="{00000000-0010-0000-0100-000007000000}" name="P" dataDxfId="90"/>
  </tableColumns>
  <tableStyleInfo showFirstColumn="0" showLastColumn="0" showRowStripes="0" showColumnStripes="0"/>
  <extLst>
    <ext xmlns:x14="http://schemas.microsoft.com/office/spreadsheetml/2009/9/main" uri="{504A1905-F514-4f6f-8877-14C23A59335A}">
      <x14:table altTextSummary="Oktoobri kalender värskendatakse selles tabelis automaatselt koos nädalapäevade nimede ja kuupäevadega"/>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2000000}" name="Detsember" displayName="Detsember" ref="K49:Q55" totalsRowShown="0" headerRowDxfId="89" dataDxfId="88">
  <autoFilter ref="K49:Q55" xr:uid="{00000000-0009-0000-0100-00000B000000}">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00000000-0010-0000-0200-000001000000}" name="E" dataDxfId="87"/>
    <tableColumn id="2" xr3:uid="{00000000-0010-0000-0200-000002000000}" name="T" dataDxfId="86"/>
    <tableColumn id="3" xr3:uid="{00000000-0010-0000-0200-000003000000}" name="K" dataDxfId="85"/>
    <tableColumn id="4" xr3:uid="{00000000-0010-0000-0200-000004000000}" name="N" dataDxfId="84"/>
    <tableColumn id="5" xr3:uid="{00000000-0010-0000-0200-000005000000}" name="R" dataDxfId="83"/>
    <tableColumn id="6" xr3:uid="{00000000-0010-0000-0200-000006000000}" name="L" dataDxfId="82"/>
    <tableColumn id="7" xr3:uid="{00000000-0010-0000-0200-000007000000}" name="P" dataDxfId="81"/>
  </tableColumns>
  <tableStyleInfo showFirstColumn="0" showLastColumn="0" showRowStripes="0" showColumnStripes="0"/>
  <extLst>
    <ext xmlns:x14="http://schemas.microsoft.com/office/spreadsheetml/2009/9/main" uri="{504A1905-F514-4f6f-8877-14C23A59335A}">
      <x14:table altTextSummary="Detsembri kalender värskendatakse selles tabelis automaatselt koos nädalapäevade nimede ja kuupäevadega"/>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3000000}" name="November" displayName="November" ref="C49:I55" totalsRowShown="0" headerRowDxfId="80" dataDxfId="79">
  <autoFilter ref="C49:I55" xr:uid="{00000000-0009-0000-0100-00000C000000}">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00000000-0010-0000-0300-000001000000}" name="E" dataDxfId="78"/>
    <tableColumn id="2" xr3:uid="{00000000-0010-0000-0300-000002000000}" name="T" dataDxfId="77"/>
    <tableColumn id="3" xr3:uid="{00000000-0010-0000-0300-000003000000}" name="K" dataDxfId="76"/>
    <tableColumn id="4" xr3:uid="{00000000-0010-0000-0300-000004000000}" name="N" dataDxfId="75"/>
    <tableColumn id="5" xr3:uid="{00000000-0010-0000-0300-000005000000}" name="R" dataDxfId="74"/>
    <tableColumn id="6" xr3:uid="{00000000-0010-0000-0300-000006000000}" name="L" dataDxfId="73"/>
    <tableColumn id="7" xr3:uid="{00000000-0010-0000-0300-000007000000}" name="P" dataDxfId="72"/>
  </tableColumns>
  <tableStyleInfo showFirstColumn="0" showLastColumn="0" showRowStripes="0" showColumnStripes="0"/>
  <extLst>
    <ext xmlns:x14="http://schemas.microsoft.com/office/spreadsheetml/2009/9/main" uri="{504A1905-F514-4f6f-8877-14C23A59335A}">
      <x14:table altTextSummary="Novembri kalender värskendatakse selles tabelis automaatselt koos nädalapäevade nimede ja kuupäevadega"/>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4000000}" name="August" displayName="August" ref="K31:Q37" totalsRowShown="0" headerRowDxfId="71" dataDxfId="70">
  <autoFilter ref="K31:Q37" xr:uid="{00000000-0009-0000-0100-00000D000000}">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00000000-0010-0000-0400-000001000000}" name="E" dataDxfId="69"/>
    <tableColumn id="2" xr3:uid="{00000000-0010-0000-0400-000002000000}" name="T" dataDxfId="68"/>
    <tableColumn id="3" xr3:uid="{00000000-0010-0000-0400-000003000000}" name="K" dataDxfId="67"/>
    <tableColumn id="4" xr3:uid="{00000000-0010-0000-0400-000004000000}" name="N" dataDxfId="66"/>
    <tableColumn id="5" xr3:uid="{00000000-0010-0000-0400-000005000000}" name="R" dataDxfId="65"/>
    <tableColumn id="6" xr3:uid="{00000000-0010-0000-0400-000006000000}" name="L" dataDxfId="64"/>
    <tableColumn id="7" xr3:uid="{00000000-0010-0000-0400-000007000000}" name="P" dataDxfId="63"/>
  </tableColumns>
  <tableStyleInfo showFirstColumn="0" showLastColumn="0" showRowStripes="0" showColumnStripes="0"/>
  <extLst>
    <ext xmlns:x14="http://schemas.microsoft.com/office/spreadsheetml/2009/9/main" uri="{504A1905-F514-4f6f-8877-14C23A59335A}">
      <x14:table altTextSummary="Augusti kalender värskendatakse selles tabelis automaatselt koos nädalapäevade nimede ja kuupäevadega"/>
    </ext>
  </extLst>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5000000}" name="Juuli" displayName="Juuli" ref="C31:I37" totalsRowShown="0" headerRowDxfId="62" dataDxfId="61">
  <autoFilter ref="C31:I37" xr:uid="{00000000-0009-0000-0100-00000E000000}">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00000000-0010-0000-0500-000001000000}" name="E" dataDxfId="60"/>
    <tableColumn id="2" xr3:uid="{00000000-0010-0000-0500-000002000000}" name="T" dataDxfId="59"/>
    <tableColumn id="3" xr3:uid="{00000000-0010-0000-0500-000003000000}" name="K" dataDxfId="58"/>
    <tableColumn id="4" xr3:uid="{00000000-0010-0000-0500-000004000000}" name="N" dataDxfId="57"/>
    <tableColumn id="5" xr3:uid="{00000000-0010-0000-0500-000005000000}" name="R" dataDxfId="56"/>
    <tableColumn id="6" xr3:uid="{00000000-0010-0000-0500-000006000000}" name="L" dataDxfId="55"/>
    <tableColumn id="7" xr3:uid="{00000000-0010-0000-0500-000007000000}" name="P" dataDxfId="54"/>
  </tableColumns>
  <tableStyleInfo showFirstColumn="0" showLastColumn="0" showRowStripes="0" showColumnStripes="0"/>
  <extLst>
    <ext xmlns:x14="http://schemas.microsoft.com/office/spreadsheetml/2009/9/main" uri="{504A1905-F514-4f6f-8877-14C23A59335A}">
      <x14:table altTextSummary="Juuli kalender värskendatakse selles tabelis automaatselt koos nädalapäevade nimede ja kuupäevadega"/>
    </ext>
  </extLst>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6000000}" name="Juuni" displayName="Juuni" ref="K22:Q28" totalsRowShown="0" headerRowDxfId="53" dataDxfId="52">
  <autoFilter ref="K22:Q28" xr:uid="{00000000-0009-0000-0100-00000F000000}">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00000000-0010-0000-0600-000001000000}" name="E" dataDxfId="51"/>
    <tableColumn id="2" xr3:uid="{00000000-0010-0000-0600-000002000000}" name="T" dataDxfId="50"/>
    <tableColumn id="3" xr3:uid="{00000000-0010-0000-0600-000003000000}" name="K" dataDxfId="49"/>
    <tableColumn id="4" xr3:uid="{00000000-0010-0000-0600-000004000000}" name="N" dataDxfId="48"/>
    <tableColumn id="5" xr3:uid="{00000000-0010-0000-0600-000005000000}" name="R" dataDxfId="47"/>
    <tableColumn id="6" xr3:uid="{00000000-0010-0000-0600-000006000000}" name="L" dataDxfId="46"/>
    <tableColumn id="7" xr3:uid="{00000000-0010-0000-0600-000007000000}" name="P" dataDxfId="45"/>
  </tableColumns>
  <tableStyleInfo showFirstColumn="0" showLastColumn="0" showRowStripes="0" showColumnStripes="0"/>
  <extLst>
    <ext xmlns:x14="http://schemas.microsoft.com/office/spreadsheetml/2009/9/main" uri="{504A1905-F514-4f6f-8877-14C23A59335A}">
      <x14:table altTextSummary="Juuni kalender värskendatakse selles tabelis automaatselt koos nädalapäevade nimede ja kuupäevadega"/>
    </ext>
  </extLst>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7000000}" name="Mai" displayName="Mai" ref="C22:I28" totalsRowShown="0" headerRowDxfId="44" dataDxfId="43">
  <autoFilter ref="C22:I28" xr:uid="{00000000-0009-0000-0100-000010000000}">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00000000-0010-0000-0700-000001000000}" name="E" dataDxfId="42"/>
    <tableColumn id="2" xr3:uid="{00000000-0010-0000-0700-000002000000}" name="T" dataDxfId="41"/>
    <tableColumn id="3" xr3:uid="{00000000-0010-0000-0700-000003000000}" name="K" dataDxfId="40"/>
    <tableColumn id="4" xr3:uid="{00000000-0010-0000-0700-000004000000}" name="N" dataDxfId="39"/>
    <tableColumn id="5" xr3:uid="{00000000-0010-0000-0700-000005000000}" name="R" dataDxfId="38"/>
    <tableColumn id="6" xr3:uid="{00000000-0010-0000-0700-000006000000}" name="L" dataDxfId="37"/>
    <tableColumn id="7" xr3:uid="{00000000-0010-0000-0700-000007000000}" name="P" dataDxfId="36"/>
  </tableColumns>
  <tableStyleInfo showFirstColumn="0" showLastColumn="0" showRowStripes="0" showColumnStripes="0"/>
  <extLst>
    <ext xmlns:x14="http://schemas.microsoft.com/office/spreadsheetml/2009/9/main" uri="{504A1905-F514-4f6f-8877-14C23A59335A}">
      <x14:table altTextSummary="Mai kalender värskendatakse selles tabelis automaatselt koos nädalapäevade nimede ja kuupäevadega"/>
    </ext>
  </extLst>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08000000}" name="Märts" displayName="Märts" ref="C13:I19" totalsRowShown="0" headerRowDxfId="35" dataDxfId="34">
  <autoFilter ref="C13:I19" xr:uid="{00000000-0009-0000-0100-000011000000}">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00000000-0010-0000-0800-000001000000}" name="E" dataDxfId="33"/>
    <tableColumn id="2" xr3:uid="{00000000-0010-0000-0800-000002000000}" name="T" dataDxfId="32"/>
    <tableColumn id="3" xr3:uid="{00000000-0010-0000-0800-000003000000}" name="K" dataDxfId="31"/>
    <tableColumn id="4" xr3:uid="{00000000-0010-0000-0800-000004000000}" name="N" dataDxfId="30"/>
    <tableColumn id="5" xr3:uid="{00000000-0010-0000-0800-000005000000}" name="R" dataDxfId="29"/>
    <tableColumn id="6" xr3:uid="{00000000-0010-0000-0800-000006000000}" name="L" dataDxfId="28"/>
    <tableColumn id="7" xr3:uid="{00000000-0010-0000-0800-000007000000}" name="P" dataDxfId="27"/>
  </tableColumns>
  <tableStyleInfo showFirstColumn="0" showLastColumn="0" showRowStripes="0" showColumnStripes="0"/>
  <extLst>
    <ext xmlns:x14="http://schemas.microsoft.com/office/spreadsheetml/2009/9/main" uri="{504A1905-F514-4f6f-8877-14C23A59335A}">
      <x14:table altTextSummary="Märtsi kalender värskendatakse selles tabelis automaatselt koos nädalapäevade nimede ja kuupäevadega"/>
    </ext>
  </extLst>
</table>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Civic">
  <a:themeElements>
    <a:clrScheme name="Small Business Calendar 2">
      <a:dk1>
        <a:sysClr val="windowText" lastClr="000000"/>
      </a:dk1>
      <a:lt1>
        <a:sysClr val="window" lastClr="FFFFFF"/>
      </a:lt1>
      <a:dk2>
        <a:srgbClr val="646B86"/>
      </a:dk2>
      <a:lt2>
        <a:srgbClr val="C5D1D7"/>
      </a:lt2>
      <a:accent1>
        <a:srgbClr val="D16349"/>
      </a:accent1>
      <a:accent2>
        <a:srgbClr val="CCB400"/>
      </a:accent2>
      <a:accent3>
        <a:srgbClr val="8CADAE"/>
      </a:accent3>
      <a:accent4>
        <a:srgbClr val="8C7B70"/>
      </a:accent4>
      <a:accent5>
        <a:srgbClr val="8FB08C"/>
      </a:accent5>
      <a:accent6>
        <a:srgbClr val="D19049"/>
      </a:accent6>
      <a:hlink>
        <a:srgbClr val="8FB08C"/>
      </a:hlink>
      <a:folHlink>
        <a:srgbClr val="694F07"/>
      </a:folHlink>
    </a:clrScheme>
    <a:fontScheme name="Custom 2">
      <a:majorFont>
        <a:latin typeface="Calibri"/>
        <a:ea typeface=""/>
        <a:cs typeface=""/>
      </a:majorFont>
      <a:minorFont>
        <a:latin typeface="Calibri"/>
        <a:ea typeface=""/>
        <a:cs typeface=""/>
      </a:minorFont>
    </a:fontScheme>
    <a:fmtScheme name="Civic">
      <a:fillStyleLst>
        <a:solidFill>
          <a:schemeClr val="phClr"/>
        </a:solidFill>
        <a:solidFill>
          <a:schemeClr val="phClr">
            <a:tint val="45000"/>
          </a:schemeClr>
        </a:solidFill>
        <a:solidFill>
          <a:schemeClr val="phClr">
            <a:tint val="95000"/>
          </a:schemeClr>
        </a:solidFill>
      </a:fillStyleLst>
      <a:lnStyleLst>
        <a:ln w="9525" cap="flat" cmpd="sng" algn="ctr">
          <a:solidFill>
            <a:schemeClr val="phClr"/>
          </a:solidFill>
          <a:prstDash val="solid"/>
        </a:ln>
        <a:ln w="11429" cap="flat" cmpd="sng" algn="ctr">
          <a:solidFill>
            <a:schemeClr val="phClr"/>
          </a:solidFill>
          <a:prstDash val="sysDash"/>
        </a:ln>
        <a:ln w="20000" cap="flat" cmpd="sng" algn="ctr">
          <a:solidFill>
            <a:schemeClr val="phClr"/>
          </a:solidFill>
          <a:prstDash val="solid"/>
        </a:ln>
      </a:lnStyleLst>
      <a:effectStyleLst>
        <a:effectStyle>
          <a:effectLst>
            <a:outerShdw blurRad="50800" dist="25400" dir="5400000" rotWithShape="0">
              <a:srgbClr val="000000">
                <a:alpha val="35000"/>
              </a:srgbClr>
            </a:outerShdw>
          </a:effectLst>
        </a:effectStyle>
        <a:effectStyle>
          <a:effectLst>
            <a:outerShdw blurRad="50800" dist="25400" dir="5400000" rotWithShape="0">
              <a:srgbClr val="000000">
                <a:alpha val="45000"/>
              </a:srgbClr>
            </a:outerShdw>
          </a:effectLst>
          <a:scene3d>
            <a:camera prst="orthographicFront" fov="0">
              <a:rot lat="0" lon="0" rev="0"/>
            </a:camera>
            <a:lightRig rig="threePt" dir="t">
              <a:rot lat="0" lon="0" rev="0"/>
            </a:lightRig>
          </a:scene3d>
          <a:sp3d contourW="9525" prstMaterial="matte">
            <a:bevelT w="0" h="0"/>
            <a:contourClr>
              <a:schemeClr val="phClr">
                <a:shade val="70000"/>
                <a:satMod val="105000"/>
              </a:schemeClr>
            </a:contourClr>
          </a:sp3d>
        </a:effectStyle>
        <a:effectStyle>
          <a:effectLst>
            <a:outerShdw blurRad="50800" dist="25400" dir="5400000" rotWithShape="0">
              <a:srgbClr val="000000">
                <a:alpha val="45000"/>
              </a:srgbClr>
            </a:outerShdw>
          </a:effectLst>
          <a:scene3d>
            <a:camera prst="orthographicFront" fov="0">
              <a:rot lat="0" lon="0" rev="0"/>
            </a:camera>
            <a:lightRig rig="soft" dir="b">
              <a:rot lat="0" lon="0" rev="0"/>
            </a:lightRig>
          </a:scene3d>
          <a:sp3d prstMaterial="dkEdge">
            <a:bevelT w="63500" h="63500" prst="cross"/>
            <a:contourClr>
              <a:schemeClr val="phClr"/>
            </a:contourClr>
          </a:sp3d>
        </a:effectStyle>
      </a:effectStyleLst>
      <a:bgFillStyleLst>
        <a:solidFill>
          <a:schemeClr val="phClr"/>
        </a:solidFill>
        <a:blipFill>
          <a:blip xmlns:r="http://schemas.openxmlformats.org/officeDocument/2006/relationships" r:embed="rId1">
            <a:duotone>
              <a:schemeClr val="phClr">
                <a:shade val="70000"/>
                <a:satMod val="115000"/>
              </a:schemeClr>
              <a:schemeClr val="phClr">
                <a:tint val="85000"/>
              </a:schemeClr>
            </a:duotone>
          </a:blip>
          <a:tile tx="0" ty="0" sx="85000" sy="85000" flip="none" algn="tl"/>
        </a:blipFill>
        <a:blipFill>
          <a:blip xmlns:r="http://schemas.openxmlformats.org/officeDocument/2006/relationships" r:embed="rId2">
            <a:duotone>
              <a:schemeClr val="phClr">
                <a:shade val="65000"/>
                <a:satMod val="115000"/>
              </a:schemeClr>
              <a:schemeClr val="phClr">
                <a:tint val="85000"/>
              </a:schemeClr>
            </a:duotone>
          </a:blip>
          <a:tile tx="0" ty="0" sx="65000" sy="65000" flip="none" algn="tl"/>
        </a:blip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table" Target="../tables/table4.xml"/><Relationship Id="rId13" Type="http://schemas.openxmlformats.org/officeDocument/2006/relationships/table" Target="../tables/table9.xml"/><Relationship Id="rId3" Type="http://schemas.openxmlformats.org/officeDocument/2006/relationships/vmlDrawing" Target="../drawings/vmlDrawing1.vml"/><Relationship Id="rId7" Type="http://schemas.openxmlformats.org/officeDocument/2006/relationships/table" Target="../tables/table3.xml"/><Relationship Id="rId12" Type="http://schemas.openxmlformats.org/officeDocument/2006/relationships/table" Target="../tables/table8.xml"/><Relationship Id="rId2" Type="http://schemas.openxmlformats.org/officeDocument/2006/relationships/drawing" Target="../drawings/drawing1.xml"/><Relationship Id="rId16" Type="http://schemas.openxmlformats.org/officeDocument/2006/relationships/table" Target="../tables/table12.xml"/><Relationship Id="rId1" Type="http://schemas.openxmlformats.org/officeDocument/2006/relationships/printerSettings" Target="../printerSettings/printerSettings2.bin"/><Relationship Id="rId6" Type="http://schemas.openxmlformats.org/officeDocument/2006/relationships/table" Target="../tables/table2.xml"/><Relationship Id="rId11" Type="http://schemas.openxmlformats.org/officeDocument/2006/relationships/table" Target="../tables/table7.xml"/><Relationship Id="rId5" Type="http://schemas.openxmlformats.org/officeDocument/2006/relationships/table" Target="../tables/table1.xml"/><Relationship Id="rId15" Type="http://schemas.openxmlformats.org/officeDocument/2006/relationships/table" Target="../tables/table11.xml"/><Relationship Id="rId10" Type="http://schemas.openxmlformats.org/officeDocument/2006/relationships/table" Target="../tables/table6.xml"/><Relationship Id="rId4" Type="http://schemas.openxmlformats.org/officeDocument/2006/relationships/ctrlProp" Target="../ctrlProps/ctrlProp1.xml"/><Relationship Id="rId9" Type="http://schemas.openxmlformats.org/officeDocument/2006/relationships/table" Target="../tables/table5.xml"/><Relationship Id="rId14" Type="http://schemas.openxmlformats.org/officeDocument/2006/relationships/table" Target="../tables/table10.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tint="-0.249977111117893"/>
  </sheetPr>
  <dimension ref="B1:B8"/>
  <sheetViews>
    <sheetView showGridLines="0" tabSelected="1" workbookViewId="0"/>
  </sheetViews>
  <sheetFormatPr defaultRowHeight="11.25" x14ac:dyDescent="0.2"/>
  <cols>
    <col min="1" max="1" width="2.83203125" customWidth="1"/>
    <col min="2" max="2" width="92.83203125" style="16" customWidth="1"/>
    <col min="3" max="3" width="2.83203125" customWidth="1"/>
  </cols>
  <sheetData>
    <row r="1" spans="2:2" ht="30" customHeight="1" x14ac:dyDescent="0.2">
      <c r="B1" s="13" t="s">
        <v>0</v>
      </c>
    </row>
    <row r="2" spans="2:2" ht="30" customHeight="1" x14ac:dyDescent="0.2">
      <c r="B2" s="12" t="s">
        <v>1</v>
      </c>
    </row>
    <row r="3" spans="2:2" ht="30" customHeight="1" x14ac:dyDescent="0.2">
      <c r="B3" s="12" t="s">
        <v>2</v>
      </c>
    </row>
    <row r="4" spans="2:2" ht="30" customHeight="1" x14ac:dyDescent="0.2">
      <c r="B4" s="12" t="s">
        <v>3</v>
      </c>
    </row>
    <row r="5" spans="2:2" ht="30" customHeight="1" x14ac:dyDescent="0.25">
      <c r="B5" s="15" t="s">
        <v>4</v>
      </c>
    </row>
    <row r="6" spans="2:2" ht="54.75" customHeight="1" x14ac:dyDescent="0.2">
      <c r="B6" s="20" t="s">
        <v>5</v>
      </c>
    </row>
    <row r="7" spans="2:2" ht="30" x14ac:dyDescent="0.2">
      <c r="B7" s="14" t="s">
        <v>6</v>
      </c>
    </row>
    <row r="8" spans="2:2" ht="15" x14ac:dyDescent="0.2">
      <c r="B8" s="12"/>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pageSetUpPr fitToPage="1"/>
  </sheetPr>
  <dimension ref="A1:W69"/>
  <sheetViews>
    <sheetView showGridLines="0" zoomScaleNormal="100" workbookViewId="0"/>
  </sheetViews>
  <sheetFormatPr defaultColWidth="9.5" defaultRowHeight="11.25" x14ac:dyDescent="0.2"/>
  <cols>
    <col min="1" max="1" width="2.5" style="19" customWidth="1"/>
    <col min="2" max="2" width="5.1640625" customWidth="1"/>
    <col min="3" max="17" width="5" customWidth="1"/>
    <col min="18" max="18" width="2.1640625" customWidth="1"/>
    <col min="19" max="19" width="1.1640625" customWidth="1"/>
    <col min="20" max="20" width="5.1640625" customWidth="1"/>
    <col min="21" max="21" width="42" customWidth="1"/>
    <col min="22" max="22" width="9.33203125" customWidth="1"/>
    <col min="23" max="23" width="13.5" customWidth="1"/>
    <col min="24" max="24" width="2.83203125" customWidth="1"/>
    <col min="25" max="43" width="9.33203125" customWidth="1"/>
    <col min="44" max="44" width="9.5" customWidth="1"/>
  </cols>
  <sheetData>
    <row r="1" spans="1:23" ht="30" customHeight="1" x14ac:dyDescent="0.2">
      <c r="A1" s="17" t="s">
        <v>7</v>
      </c>
      <c r="B1" s="4"/>
      <c r="C1" s="26">
        <v>2020</v>
      </c>
      <c r="D1" s="26"/>
      <c r="E1" s="26"/>
      <c r="F1" s="26"/>
      <c r="G1" s="5"/>
      <c r="H1" s="6"/>
      <c r="I1" s="6"/>
      <c r="J1" s="6"/>
      <c r="K1" s="6"/>
      <c r="L1" s="6"/>
      <c r="M1" s="6"/>
      <c r="N1" s="6"/>
      <c r="O1" s="6"/>
      <c r="P1" s="6"/>
      <c r="Q1" s="6"/>
      <c r="R1" s="6"/>
      <c r="S1" s="4"/>
      <c r="T1" s="4"/>
      <c r="U1" s="7" t="s">
        <v>45</v>
      </c>
      <c r="V1" s="4"/>
      <c r="W1" s="4"/>
    </row>
    <row r="2" spans="1:23" ht="15" customHeight="1" x14ac:dyDescent="0.2">
      <c r="A2" s="18" t="s">
        <v>8</v>
      </c>
      <c r="B2" s="27" t="s">
        <v>25</v>
      </c>
      <c r="C2" s="27"/>
      <c r="D2" s="27"/>
      <c r="E2" s="27"/>
      <c r="F2" s="27"/>
      <c r="G2" s="27"/>
      <c r="H2" s="27"/>
      <c r="I2" s="27"/>
      <c r="J2" s="27"/>
      <c r="S2" s="24"/>
    </row>
    <row r="3" spans="1:23" ht="15" customHeight="1" x14ac:dyDescent="0.25">
      <c r="A3" s="19" t="s">
        <v>9</v>
      </c>
      <c r="C3" s="28" t="s">
        <v>26</v>
      </c>
      <c r="D3" s="28"/>
      <c r="E3" s="28"/>
      <c r="F3" s="28"/>
      <c r="G3" s="28"/>
      <c r="H3" s="28"/>
      <c r="I3" s="28"/>
      <c r="J3" s="21"/>
      <c r="K3" s="28" t="s">
        <v>39</v>
      </c>
      <c r="L3" s="28"/>
      <c r="M3" s="28"/>
      <c r="N3" s="28"/>
      <c r="O3" s="28"/>
      <c r="P3" s="28"/>
      <c r="Q3" s="28"/>
      <c r="S3" s="24"/>
      <c r="U3" s="10" t="s">
        <v>46</v>
      </c>
      <c r="V3" s="30"/>
      <c r="W3" s="30"/>
    </row>
    <row r="4" spans="1:23" ht="15" customHeight="1" x14ac:dyDescent="0.2">
      <c r="A4" s="18" t="s">
        <v>10</v>
      </c>
      <c r="C4" s="11" t="s">
        <v>27</v>
      </c>
      <c r="D4" s="11" t="s">
        <v>33</v>
      </c>
      <c r="E4" s="11" t="s">
        <v>34</v>
      </c>
      <c r="F4" s="11" t="s">
        <v>35</v>
      </c>
      <c r="G4" s="11" t="s">
        <v>36</v>
      </c>
      <c r="H4" s="11" t="s">
        <v>37</v>
      </c>
      <c r="I4" s="11" t="s">
        <v>38</v>
      </c>
      <c r="J4" s="22"/>
      <c r="K4" s="11" t="s">
        <v>27</v>
      </c>
      <c r="L4" s="11" t="s">
        <v>33</v>
      </c>
      <c r="M4" s="11" t="s">
        <v>34</v>
      </c>
      <c r="N4" s="11" t="s">
        <v>35</v>
      </c>
      <c r="O4" s="11" t="s">
        <v>36</v>
      </c>
      <c r="P4" s="11" t="s">
        <v>37</v>
      </c>
      <c r="Q4" s="11" t="s">
        <v>38</v>
      </c>
      <c r="S4" s="24"/>
      <c r="U4" s="3" t="s">
        <v>47</v>
      </c>
      <c r="V4" s="30"/>
      <c r="W4" s="30"/>
    </row>
    <row r="5" spans="1:23" ht="15" customHeight="1" x14ac:dyDescent="0.2">
      <c r="A5" s="18"/>
      <c r="C5" s="25" t="str">
        <f>IF(DAY(JaanP1)=1,"",IF(AND(YEAR(JaanP1+1)=Kalendriaasta,MONTH(JaanP1+1)=1),JaanP1+1,""))</f>
        <v/>
      </c>
      <c r="D5" s="25" t="str">
        <f>IF(DAY(JaanP1)=1,"",IF(AND(YEAR(JaanP1+2)=Kalendriaasta,MONTH(JaanP1+2)=1),JaanP1+2,""))</f>
        <v/>
      </c>
      <c r="E5" s="25">
        <f>IF(DAY(JaanP1)=1,"",IF(AND(YEAR(JaanP1+3)=Kalendriaasta,MONTH(JaanP1+3)=1),JaanP1+3,""))</f>
        <v>43831</v>
      </c>
      <c r="F5" s="25">
        <f>IF(DAY(JaanP1)=1,"",IF(AND(YEAR(JaanP1+4)=Kalendriaasta,MONTH(JaanP1+4)=1),JaanP1+4,""))</f>
        <v>43832</v>
      </c>
      <c r="G5" s="25">
        <f>IF(DAY(JaanP1)=1,"",IF(AND(YEAR(JaanP1+5)=Kalendriaasta,MONTH(JaanP1+5)=1),JaanP1+5,""))</f>
        <v>43833</v>
      </c>
      <c r="H5" s="25">
        <f>IF(DAY(JaanP1)=1,"",IF(AND(YEAR(JaanP1+6)=Kalendriaasta,MONTH(JaanP1+6)=1),JaanP1+6,""))</f>
        <v>43834</v>
      </c>
      <c r="I5" s="25">
        <f>IF(DAY(JaanP1)=1,IF(AND(YEAR(JaanP1)=Kalendriaasta,MONTH(JaanP1)=1),JaanP1,""),IF(AND(YEAR(JaanP1+7)=Kalendriaasta,MONTH(JaanP1+7)=1),JaanP1+7,""))</f>
        <v>43835</v>
      </c>
      <c r="J5" s="22"/>
      <c r="K5" s="25" t="str">
        <f>IF(DAY(VeebrP1)=1,"",IF(AND(YEAR(VeebrP1+1)=Kalendriaasta,MONTH(VeebrP1+1)=2),VeebrP1+1,""))</f>
        <v/>
      </c>
      <c r="L5" s="25" t="str">
        <f>IF(DAY(VeebrP1)=1,"",IF(AND(YEAR(VeebrP1+2)=Kalendriaasta,MONTH(VeebrP1+2)=2),VeebrP1+2,""))</f>
        <v/>
      </c>
      <c r="M5" s="25" t="str">
        <f>IF(DAY(VeebrP1)=1,"",IF(AND(YEAR(VeebrP1+3)=Kalendriaasta,MONTH(VeebrP1+3)=2),VeebrP1+3,""))</f>
        <v/>
      </c>
      <c r="N5" s="25" t="str">
        <f>IF(DAY(VeebrP1)=1,"",IF(AND(YEAR(VeebrP1+4)=Kalendriaasta,MONTH(VeebrP1+4)=2),VeebrP1+4,""))</f>
        <v/>
      </c>
      <c r="O5" s="25" t="str">
        <f>IF(DAY(VeebrP1)=1,"",IF(AND(YEAR(VeebrP1+5)=Kalendriaasta,MONTH(VeebrP1+5)=2),VeebrP1+5,""))</f>
        <v/>
      </c>
      <c r="P5" s="25">
        <f>IF(DAY(VeebrP1)=1,"",IF(AND(YEAR(VeebrP1+6)=Kalendriaasta,MONTH(VeebrP1+6)=2),VeebrP1+6,""))</f>
        <v>43862</v>
      </c>
      <c r="Q5" s="25">
        <f>IF(DAY(VeebrP1)=1,IF(AND(YEAR(VeebrP1)=Kalendriaasta,MONTH(VeebrP1)=2),VeebrP1,""),IF(AND(YEAR(VeebrP1+7)=Kalendriaasta,MONTH(VeebrP1+7)=2),VeebrP1+7,""))</f>
        <v>43863</v>
      </c>
      <c r="S5" s="24"/>
      <c r="U5" s="2"/>
      <c r="V5" s="30"/>
      <c r="W5" s="30"/>
    </row>
    <row r="6" spans="1:23" ht="15" customHeight="1" x14ac:dyDescent="0.2">
      <c r="A6" s="18"/>
      <c r="C6" s="25">
        <f>IF(DAY(JaanP1)=1,IF(AND(YEAR(JaanP1+1)=Kalendriaasta,MONTH(JaanP1+1)=1),JaanP1+1,""),IF(AND(YEAR(JaanP1+8)=Kalendriaasta,MONTH(JaanP1+8)=1),JaanP1+8,""))</f>
        <v>43836</v>
      </c>
      <c r="D6" s="25">
        <f>IF(DAY(JaanP1)=1,IF(AND(YEAR(JaanP1+2)=Kalendriaasta,MONTH(JaanP1+2)=1),JaanP1+2,""),IF(AND(YEAR(JaanP1+9)=Kalendriaasta,MONTH(JaanP1+9)=1),JaanP1+9,""))</f>
        <v>43837</v>
      </c>
      <c r="E6" s="25">
        <f>IF(DAY(JaanP1)=1,IF(AND(YEAR(JaanP1+3)=Kalendriaasta,MONTH(JaanP1+3)=1),JaanP1+3,""),IF(AND(YEAR(JaanP1+10)=Kalendriaasta,MONTH(JaanP1+10)=1),JaanP1+10,""))</f>
        <v>43838</v>
      </c>
      <c r="F6" s="25">
        <f>IF(DAY(JaanP1)=1,IF(AND(YEAR(JaanP1+4)=Kalendriaasta,MONTH(JaanP1+4)=1),JaanP1+4,""),IF(AND(YEAR(JaanP1+11)=Kalendriaasta,MONTH(JaanP1+11)=1),JaanP1+11,""))</f>
        <v>43839</v>
      </c>
      <c r="G6" s="25">
        <f>IF(DAY(JaanP1)=1,IF(AND(YEAR(JaanP1+5)=Kalendriaasta,MONTH(JaanP1+5)=1),JaanP1+5,""),IF(AND(YEAR(JaanP1+12)=Kalendriaasta,MONTH(JaanP1+12)=1),JaanP1+12,""))</f>
        <v>43840</v>
      </c>
      <c r="H6" s="25">
        <f>IF(DAY(JaanP1)=1,IF(AND(YEAR(JaanP1+6)=Kalendriaasta,MONTH(JaanP1+6)=1),JaanP1+6,""),IF(AND(YEAR(JaanP1+13)=Kalendriaasta,MONTH(JaanP1+13)=1),JaanP1+13,""))</f>
        <v>43841</v>
      </c>
      <c r="I6" s="25">
        <f>IF(DAY(JaanP1)=1,IF(AND(YEAR(JaanP1+7)=Kalendriaasta,MONTH(JaanP1+7)=1),JaanP1+7,""),IF(AND(YEAR(JaanP1+14)=Kalendriaasta,MONTH(JaanP1+14)=1),JaanP1+14,""))</f>
        <v>43842</v>
      </c>
      <c r="J6" s="22"/>
      <c r="K6" s="25">
        <f>IF(DAY(VeebrP1)=1,IF(AND(YEAR(VeebrP1+1)=Kalendriaasta,MONTH(VeebrP1+1)=2),VeebrP1+1,""),IF(AND(YEAR(VeebrP1+8)=Kalendriaasta,MONTH(VeebrP1+8)=2),VeebrP1+8,""))</f>
        <v>43864</v>
      </c>
      <c r="L6" s="25">
        <f>IF(DAY(VeebrP1)=1,IF(AND(YEAR(VeebrP1+2)=Kalendriaasta,MONTH(VeebrP1+2)=2),VeebrP1+2,""),IF(AND(YEAR(VeebrP1+9)=Kalendriaasta,MONTH(VeebrP1+9)=2),VeebrP1+9,""))</f>
        <v>43865</v>
      </c>
      <c r="M6" s="25">
        <f>IF(DAY(VeebrP1)=1,IF(AND(YEAR(VeebrP1+3)=Kalendriaasta,MONTH(VeebrP1+3)=2),VeebrP1+3,""),IF(AND(YEAR(VeebrP1+10)=Kalendriaasta,MONTH(VeebrP1+10)=2),VeebrP1+10,""))</f>
        <v>43866</v>
      </c>
      <c r="N6" s="25">
        <f>IF(DAY(VeebrP1)=1,IF(AND(YEAR(VeebrP1+4)=Kalendriaasta,MONTH(VeebrP1+4)=2),VeebrP1+4,""),IF(AND(YEAR(VeebrP1+11)=Kalendriaasta,MONTH(VeebrP1+11)=2),VeebrP1+11,""))</f>
        <v>43867</v>
      </c>
      <c r="O6" s="25">
        <f>IF(DAY(VeebrP1)=1,IF(AND(YEAR(VeebrP1+5)=Kalendriaasta,MONTH(VeebrP1+5)=2),VeebrP1+5,""),IF(AND(YEAR(VeebrP1+12)=Kalendriaasta,MONTH(VeebrP1+12)=2),VeebrP1+12,""))</f>
        <v>43868</v>
      </c>
      <c r="P6" s="25">
        <f>IF(DAY(VeebrP1)=1,IF(AND(YEAR(VeebrP1+6)=Kalendriaasta,MONTH(VeebrP1+6)=2),VeebrP1+6,""),IF(AND(YEAR(VeebrP1+13)=Kalendriaasta,MONTH(VeebrP1+13)=2),VeebrP1+13,""))</f>
        <v>43869</v>
      </c>
      <c r="Q6" s="25">
        <f>IF(DAY(VeebrP1)=1,IF(AND(YEAR(VeebrP1+7)=Kalendriaasta,MONTH(VeebrP1+7)=2),VeebrP1+7,""),IF(AND(YEAR(VeebrP1+14)=Kalendriaasta,MONTH(VeebrP1+14)=2),VeebrP1+14,""))</f>
        <v>43870</v>
      </c>
      <c r="S6" s="24"/>
      <c r="U6" s="10" t="s">
        <v>48</v>
      </c>
      <c r="V6" s="30"/>
      <c r="W6" s="30"/>
    </row>
    <row r="7" spans="1:23" ht="15" customHeight="1" x14ac:dyDescent="0.2">
      <c r="C7" s="25">
        <f>IF(DAY(JaanP1)=1,IF(AND(YEAR(JaanP1+8)=Kalendriaasta,MONTH(JaanP1+8)=1),JaanP1+8,""),IF(AND(YEAR(JaanP1+15)=Kalendriaasta,MONTH(JaanP1+15)=1),JaanP1+15,""))</f>
        <v>43843</v>
      </c>
      <c r="D7" s="25">
        <f>IF(DAY(JaanP1)=1,IF(AND(YEAR(JaanP1+9)=Kalendriaasta,MONTH(JaanP1+9)=1),JaanP1+9,""),IF(AND(YEAR(JaanP1+16)=Kalendriaasta,MONTH(JaanP1+16)=1),JaanP1+16,""))</f>
        <v>43844</v>
      </c>
      <c r="E7" s="25">
        <f>IF(DAY(JaanP1)=1,IF(AND(YEAR(JaanP1+10)=Kalendriaasta,MONTH(JaanP1+10)=1),JaanP1+10,""),IF(AND(YEAR(JaanP1+17)=Kalendriaasta,MONTH(JaanP1+17)=1),JaanP1+17,""))</f>
        <v>43845</v>
      </c>
      <c r="F7" s="25">
        <f>IF(DAY(JaanP1)=1,IF(AND(YEAR(JaanP1+11)=Kalendriaasta,MONTH(JaanP1+11)=1),JaanP1+11,""),IF(AND(YEAR(JaanP1+18)=Kalendriaasta,MONTH(JaanP1+18)=1),JaanP1+18,""))</f>
        <v>43846</v>
      </c>
      <c r="G7" s="25">
        <f>IF(DAY(JaanP1)=1,IF(AND(YEAR(JaanP1+12)=Kalendriaasta,MONTH(JaanP1+12)=1),JaanP1+12,""),IF(AND(YEAR(JaanP1+19)=Kalendriaasta,MONTH(JaanP1+19)=1),JaanP1+19,""))</f>
        <v>43847</v>
      </c>
      <c r="H7" s="25">
        <f>IF(DAY(JaanP1)=1,IF(AND(YEAR(JaanP1+13)=Kalendriaasta,MONTH(JaanP1+13)=1),JaanP1+13,""),IF(AND(YEAR(JaanP1+20)=Kalendriaasta,MONTH(JaanP1+20)=1),JaanP1+20,""))</f>
        <v>43848</v>
      </c>
      <c r="I7" s="25">
        <f>IF(DAY(JaanP1)=1,IF(AND(YEAR(JaanP1+14)=Kalendriaasta,MONTH(JaanP1+14)=1),JaanP1+14,""),IF(AND(YEAR(JaanP1+21)=Kalendriaasta,MONTH(JaanP1+21)=1),JaanP1+21,""))</f>
        <v>43849</v>
      </c>
      <c r="J7" s="22"/>
      <c r="K7" s="25">
        <f>IF(DAY(VeebrP1)=1,IF(AND(YEAR(VeebrP1+8)=Kalendriaasta,MONTH(VeebrP1+8)=2),VeebrP1+8,""),IF(AND(YEAR(VeebrP1+15)=Kalendriaasta,MONTH(VeebrP1+15)=2),VeebrP1+15,""))</f>
        <v>43871</v>
      </c>
      <c r="L7" s="25">
        <f>IF(DAY(VeebrP1)=1,IF(AND(YEAR(VeebrP1+9)=Kalendriaasta,MONTH(VeebrP1+9)=2),VeebrP1+9,""),IF(AND(YEAR(VeebrP1+16)=Kalendriaasta,MONTH(VeebrP1+16)=2),VeebrP1+16,""))</f>
        <v>43872</v>
      </c>
      <c r="M7" s="25">
        <f>IF(DAY(VeebrP1)=1,IF(AND(YEAR(VeebrP1+10)=Kalendriaasta,MONTH(VeebrP1+10)=2),VeebrP1+10,""),IF(AND(YEAR(VeebrP1+17)=Kalendriaasta,MONTH(VeebrP1+17)=2),VeebrP1+17,""))</f>
        <v>43873</v>
      </c>
      <c r="N7" s="25">
        <f>IF(DAY(VeebrP1)=1,IF(AND(YEAR(VeebrP1+11)=Kalendriaasta,MONTH(VeebrP1+11)=2),VeebrP1+11,""),IF(AND(YEAR(VeebrP1+18)=Kalendriaasta,MONTH(VeebrP1+18)=2),VeebrP1+18,""))</f>
        <v>43874</v>
      </c>
      <c r="O7" s="25">
        <f>IF(DAY(VeebrP1)=1,IF(AND(YEAR(VeebrP1+12)=Kalendriaasta,MONTH(VeebrP1+12)=2),VeebrP1+12,""),IF(AND(YEAR(VeebrP1+19)=Kalendriaasta,MONTH(VeebrP1+19)=2),VeebrP1+19,""))</f>
        <v>43875</v>
      </c>
      <c r="P7" s="25">
        <f>IF(DAY(VeebrP1)=1,IF(AND(YEAR(VeebrP1+13)=Kalendriaasta,MONTH(VeebrP1+13)=2),VeebrP1+13,""),IF(AND(YEAR(VeebrP1+20)=Kalendriaasta,MONTH(VeebrP1+20)=2),VeebrP1+20,""))</f>
        <v>43876</v>
      </c>
      <c r="Q7" s="25">
        <f>IF(DAY(VeebrP1)=1,IF(AND(YEAR(VeebrP1+14)=Kalendriaasta,MONTH(VeebrP1+14)=2),VeebrP1+14,""),IF(AND(YEAR(VeebrP1+21)=Kalendriaasta,MONTH(VeebrP1+21)=2),VeebrP1+21,""))</f>
        <v>43877</v>
      </c>
      <c r="S7" s="24"/>
      <c r="U7" s="3" t="s">
        <v>49</v>
      </c>
      <c r="V7" s="30"/>
      <c r="W7" s="30"/>
    </row>
    <row r="8" spans="1:23" ht="15" customHeight="1" x14ac:dyDescent="0.2">
      <c r="C8" s="25">
        <f>IF(DAY(JaanP1)=1,IF(AND(YEAR(JaanP1+15)=Kalendriaasta,MONTH(JaanP1+15)=1),JaanP1+15,""),IF(AND(YEAR(JaanP1+22)=Kalendriaasta,MONTH(JaanP1+22)=1),JaanP1+22,""))</f>
        <v>43850</v>
      </c>
      <c r="D8" s="25">
        <f>IF(DAY(JaanP1)=1,IF(AND(YEAR(JaanP1+16)=Kalendriaasta,MONTH(JaanP1+16)=1),JaanP1+16,""),IF(AND(YEAR(JaanP1+23)=Kalendriaasta,MONTH(JaanP1+23)=1),JaanP1+23,""))</f>
        <v>43851</v>
      </c>
      <c r="E8" s="25">
        <f>IF(DAY(JaanP1)=1,IF(AND(YEAR(JaanP1+17)=Kalendriaasta,MONTH(JaanP1+17)=1),JaanP1+17,""),IF(AND(YEAR(JaanP1+24)=Kalendriaasta,MONTH(JaanP1+24)=1),JaanP1+24,""))</f>
        <v>43852</v>
      </c>
      <c r="F8" s="25">
        <f>IF(DAY(JaanP1)=1,IF(AND(YEAR(JaanP1+18)=Kalendriaasta,MONTH(JaanP1+18)=1),JaanP1+18,""),IF(AND(YEAR(JaanP1+25)=Kalendriaasta,MONTH(JaanP1+25)=1),JaanP1+25,""))</f>
        <v>43853</v>
      </c>
      <c r="G8" s="25">
        <f>IF(DAY(JaanP1)=1,IF(AND(YEAR(JaanP1+19)=Kalendriaasta,MONTH(JaanP1+19)=1),JaanP1+19,""),IF(AND(YEAR(JaanP1+26)=Kalendriaasta,MONTH(JaanP1+26)=1),JaanP1+26,""))</f>
        <v>43854</v>
      </c>
      <c r="H8" s="25">
        <f>IF(DAY(JaanP1)=1,IF(AND(YEAR(JaanP1+20)=Kalendriaasta,MONTH(JaanP1+20)=1),JaanP1+20,""),IF(AND(YEAR(JaanP1+27)=Kalendriaasta,MONTH(JaanP1+27)=1),JaanP1+27,""))</f>
        <v>43855</v>
      </c>
      <c r="I8" s="25">
        <f>IF(DAY(JaanP1)=1,IF(AND(YEAR(JaanP1+21)=Kalendriaasta,MONTH(JaanP1+21)=1),JaanP1+21,""),IF(AND(YEAR(JaanP1+28)=Kalendriaasta,MONTH(JaanP1+28)=1),JaanP1+28,""))</f>
        <v>43856</v>
      </c>
      <c r="J8" s="22"/>
      <c r="K8" s="25">
        <f>IF(DAY(VeebrP1)=1,IF(AND(YEAR(VeebrP1+15)=Kalendriaasta,MONTH(VeebrP1+15)=2),VeebrP1+15,""),IF(AND(YEAR(VeebrP1+22)=Kalendriaasta,MONTH(VeebrP1+22)=2),VeebrP1+22,""))</f>
        <v>43878</v>
      </c>
      <c r="L8" s="25">
        <f>IF(DAY(VeebrP1)=1,IF(AND(YEAR(VeebrP1+16)=Kalendriaasta,MONTH(VeebrP1+16)=2),VeebrP1+16,""),IF(AND(YEAR(VeebrP1+23)=Kalendriaasta,MONTH(VeebrP1+23)=2),VeebrP1+23,""))</f>
        <v>43879</v>
      </c>
      <c r="M8" s="25">
        <f>IF(DAY(VeebrP1)=1,IF(AND(YEAR(VeebrP1+17)=Kalendriaasta,MONTH(VeebrP1+17)=2),VeebrP1+17,""),IF(AND(YEAR(VeebrP1+24)=Kalendriaasta,MONTH(VeebrP1+24)=2),VeebrP1+24,""))</f>
        <v>43880</v>
      </c>
      <c r="N8" s="25">
        <f>IF(DAY(VeebrP1)=1,IF(AND(YEAR(VeebrP1+18)=Kalendriaasta,MONTH(VeebrP1+18)=2),VeebrP1+18,""),IF(AND(YEAR(VeebrP1+25)=Kalendriaasta,MONTH(VeebrP1+25)=2),VeebrP1+25,""))</f>
        <v>43881</v>
      </c>
      <c r="O8" s="25">
        <f>IF(DAY(VeebrP1)=1,IF(AND(YEAR(VeebrP1+19)=Kalendriaasta,MONTH(VeebrP1+19)=2),VeebrP1+19,""),IF(AND(YEAR(VeebrP1+26)=Kalendriaasta,MONTH(VeebrP1+26)=2),VeebrP1+26,""))</f>
        <v>43882</v>
      </c>
      <c r="P8" s="25">
        <f>IF(DAY(VeebrP1)=1,IF(AND(YEAR(VeebrP1+20)=Kalendriaasta,MONTH(VeebrP1+20)=2),VeebrP1+20,""),IF(AND(YEAR(VeebrP1+27)=Kalendriaasta,MONTH(VeebrP1+27)=2),VeebrP1+27,""))</f>
        <v>43883</v>
      </c>
      <c r="Q8" s="25">
        <f>IF(DAY(VeebrP1)=1,IF(AND(YEAR(VeebrP1+21)=Kalendriaasta,MONTH(VeebrP1+21)=2),VeebrP1+21,""),IF(AND(YEAR(VeebrP1+28)=Kalendriaasta,MONTH(VeebrP1+28)=2),VeebrP1+28,""))</f>
        <v>43884</v>
      </c>
      <c r="S8" s="24"/>
      <c r="U8" s="2"/>
      <c r="V8" s="30"/>
      <c r="W8" s="30"/>
    </row>
    <row r="9" spans="1:23" ht="15" customHeight="1" x14ac:dyDescent="0.2">
      <c r="C9" s="25">
        <f>IF(DAY(JaanP1)=1,IF(AND(YEAR(JaanP1+22)=Kalendriaasta,MONTH(JaanP1+22)=1),JaanP1+22,""),IF(AND(YEAR(JaanP1+29)=Kalendriaasta,MONTH(JaanP1+29)=1),JaanP1+29,""))</f>
        <v>43857</v>
      </c>
      <c r="D9" s="25">
        <f>IF(DAY(JaanP1)=1,IF(AND(YEAR(JaanP1+23)=Kalendriaasta,MONTH(JaanP1+23)=1),JaanP1+23,""),IF(AND(YEAR(JaanP1+30)=Kalendriaasta,MONTH(JaanP1+30)=1),JaanP1+30,""))</f>
        <v>43858</v>
      </c>
      <c r="E9" s="25">
        <f>IF(DAY(JaanP1)=1,IF(AND(YEAR(JaanP1+24)=Kalendriaasta,MONTH(JaanP1+24)=1),JaanP1+24,""),IF(AND(YEAR(JaanP1+31)=Kalendriaasta,MONTH(JaanP1+31)=1),JaanP1+31,""))</f>
        <v>43859</v>
      </c>
      <c r="F9" s="25">
        <f>IF(DAY(JaanP1)=1,IF(AND(YEAR(JaanP1+25)=Kalendriaasta,MONTH(JaanP1+25)=1),JaanP1+25,""),IF(AND(YEAR(JaanP1+32)=Kalendriaasta,MONTH(JaanP1+32)=1),JaanP1+32,""))</f>
        <v>43860</v>
      </c>
      <c r="G9" s="25">
        <f>IF(DAY(JaanP1)=1,IF(AND(YEAR(JaanP1+26)=Kalendriaasta,MONTH(JaanP1+26)=1),JaanP1+26,""),IF(AND(YEAR(JaanP1+33)=Kalendriaasta,MONTH(JaanP1+33)=1),JaanP1+33,""))</f>
        <v>43861</v>
      </c>
      <c r="H9" s="25" t="str">
        <f>IF(DAY(JaanP1)=1,IF(AND(YEAR(JaanP1+27)=Kalendriaasta,MONTH(JaanP1+27)=1),JaanP1+27,""),IF(AND(YEAR(JaanP1+34)=Kalendriaasta,MONTH(JaanP1+34)=1),JaanP1+34,""))</f>
        <v/>
      </c>
      <c r="I9" s="25" t="str">
        <f>IF(DAY(JaanP1)=1,IF(AND(YEAR(JaanP1+28)=Kalendriaasta,MONTH(JaanP1+28)=1),JaanP1+28,""),IF(AND(YEAR(JaanP1+35)=Kalendriaasta,MONTH(JaanP1+35)=1),JaanP1+35,""))</f>
        <v/>
      </c>
      <c r="J9" s="22"/>
      <c r="K9" s="25">
        <f>IF(DAY(VeebrP1)=1,IF(AND(YEAR(VeebrP1+22)=Kalendriaasta,MONTH(VeebrP1+22)=2),VeebrP1+22,""),IF(AND(YEAR(VeebrP1+29)=Kalendriaasta,MONTH(VeebrP1+29)=2),VeebrP1+29,""))</f>
        <v>43885</v>
      </c>
      <c r="L9" s="25">
        <f>IF(DAY(VeebrP1)=1,IF(AND(YEAR(VeebrP1+23)=Kalendriaasta,MONTH(VeebrP1+23)=2),VeebrP1+23,""),IF(AND(YEAR(VeebrP1+30)=Kalendriaasta,MONTH(VeebrP1+30)=2),VeebrP1+30,""))</f>
        <v>43886</v>
      </c>
      <c r="M9" s="25">
        <f>IF(DAY(VeebrP1)=1,IF(AND(YEAR(VeebrP1+24)=Kalendriaasta,MONTH(VeebrP1+24)=2),VeebrP1+24,""),IF(AND(YEAR(VeebrP1+31)=Kalendriaasta,MONTH(VeebrP1+31)=2),VeebrP1+31,""))</f>
        <v>43887</v>
      </c>
      <c r="N9" s="25">
        <f>IF(DAY(VeebrP1)=1,IF(AND(YEAR(VeebrP1+25)=Kalendriaasta,MONTH(VeebrP1+25)=2),VeebrP1+25,""),IF(AND(YEAR(VeebrP1+32)=Kalendriaasta,MONTH(VeebrP1+32)=2),VeebrP1+32,""))</f>
        <v>43888</v>
      </c>
      <c r="O9" s="25">
        <f>IF(DAY(VeebrP1)=1,IF(AND(YEAR(VeebrP1+26)=Kalendriaasta,MONTH(VeebrP1+26)=2),VeebrP1+26,""),IF(AND(YEAR(VeebrP1+33)=Kalendriaasta,MONTH(VeebrP1+33)=2),VeebrP1+33,""))</f>
        <v>43889</v>
      </c>
      <c r="P9" s="25">
        <f>IF(DAY(VeebrP1)=1,IF(AND(YEAR(VeebrP1+27)=Kalendriaasta,MONTH(VeebrP1+27)=2),VeebrP1+27,""),IF(AND(YEAR(VeebrP1+34)=Kalendriaasta,MONTH(VeebrP1+34)=2),VeebrP1+34,""))</f>
        <v>43890</v>
      </c>
      <c r="Q9" s="25" t="str">
        <f>IF(DAY(VeebrP1)=1,IF(AND(YEAR(VeebrP1+28)=Kalendriaasta,MONTH(VeebrP1+28)=2),VeebrP1+28,""),IF(AND(YEAR(VeebrP1+35)=Kalendriaasta,MONTH(VeebrP1+35)=2),VeebrP1+35,""))</f>
        <v/>
      </c>
      <c r="S9" s="24"/>
      <c r="U9" s="10" t="s">
        <v>50</v>
      </c>
      <c r="V9" s="30"/>
      <c r="W9" s="30"/>
    </row>
    <row r="10" spans="1:23" ht="15" customHeight="1" x14ac:dyDescent="0.2">
      <c r="C10" s="25" t="str">
        <f>IF(DAY(JaanP1)=1,IF(AND(YEAR(JaanP1+29)=Kalendriaasta,MONTH(JaanP1+29)=1),JaanP1+29,""),IF(AND(YEAR(JaanP1+36)=Kalendriaasta,MONTH(JaanP1+36)=1),JaanP1+36,""))</f>
        <v/>
      </c>
      <c r="D10" s="25" t="str">
        <f>IF(DAY(JaanP1)=1,IF(AND(YEAR(JaanP1+30)=Kalendriaasta,MONTH(JaanP1+30)=1),JaanP1+30,""),IF(AND(YEAR(JaanP1+37)=Kalendriaasta,MONTH(JaanP1+37)=1),JaanP1+37,""))</f>
        <v/>
      </c>
      <c r="E10" s="25" t="str">
        <f>IF(DAY(JaanP1)=1,IF(AND(YEAR(JaanP1+31)=Kalendriaasta,MONTH(JaanP1+31)=1),JaanP1+31,""),IF(AND(YEAR(JaanP1+38)=Kalendriaasta,MONTH(JaanP1+38)=1),JaanP1+38,""))</f>
        <v/>
      </c>
      <c r="F10" s="25" t="str">
        <f>IF(DAY(JaanP1)=1,IF(AND(YEAR(JaanP1+32)=Kalendriaasta,MONTH(JaanP1+32)=1),JaanP1+32,""),IF(AND(YEAR(JaanP1+39)=Kalendriaasta,MONTH(JaanP1+39)=1),JaanP1+39,""))</f>
        <v/>
      </c>
      <c r="G10" s="25" t="str">
        <f>IF(DAY(JaanP1)=1,IF(AND(YEAR(JaanP1+33)=Kalendriaasta,MONTH(JaanP1+33)=1),JaanP1+33,""),IF(AND(YEAR(JaanP1+40)=Kalendriaasta,MONTH(JaanP1+40)=1),JaanP1+40,""))</f>
        <v/>
      </c>
      <c r="H10" s="25" t="str">
        <f>IF(DAY(JaanP1)=1,IF(AND(YEAR(JaanP1+34)=Kalendriaasta,MONTH(JaanP1+34)=1),JaanP1+34,""),IF(AND(YEAR(JaanP1+41)=Kalendriaasta,MONTH(JaanP1+41)=1),JaanP1+41,""))</f>
        <v/>
      </c>
      <c r="I10" s="25" t="str">
        <f>IF(DAY(JaanP1)=1,IF(AND(YEAR(JaanP1+35)=Kalendriaasta,MONTH(JaanP1+35)=1),JaanP1+35,""),IF(AND(YEAR(JaanP1+42)=Kalendriaasta,MONTH(JaanP1+42)=1),JaanP1+42,""))</f>
        <v/>
      </c>
      <c r="J10" s="22"/>
      <c r="K10" s="25" t="str">
        <f>IF(DAY(VeebrP1)=1,IF(AND(YEAR(VeebrP1+29)=Kalendriaasta,MONTH(VeebrP1+29)=2),VeebrP1+29,""),IF(AND(YEAR(VeebrP1+36)=Kalendriaasta,MONTH(VeebrP1+36)=2),VeebrP1+36,""))</f>
        <v/>
      </c>
      <c r="L10" s="25" t="str">
        <f>IF(DAY(VeebrP1)=1,IF(AND(YEAR(VeebrP1+30)=Kalendriaasta,MONTH(VeebrP1+30)=2),VeebrP1+30,""),IF(AND(YEAR(VeebrP1+37)=Kalendriaasta,MONTH(VeebrP1+37)=2),VeebrP1+37,""))</f>
        <v/>
      </c>
      <c r="M10" s="25" t="str">
        <f>IF(DAY(VeebrP1)=1,IF(AND(YEAR(VeebrP1+31)=Kalendriaasta,MONTH(VeebrP1+31)=2),VeebrP1+31,""),IF(AND(YEAR(VeebrP1+38)=Kalendriaasta,MONTH(VeebrP1+38)=2),VeebrP1+38,""))</f>
        <v/>
      </c>
      <c r="N10" s="25" t="str">
        <f>IF(DAY(VeebrP1)=1,IF(AND(YEAR(VeebrP1+32)=Kalendriaasta,MONTH(VeebrP1+32)=2),VeebrP1+32,""),IF(AND(YEAR(VeebrP1+39)=Kalendriaasta,MONTH(VeebrP1+39)=2),VeebrP1+39,""))</f>
        <v/>
      </c>
      <c r="O10" s="25" t="str">
        <f>IF(DAY(VeebrP1)=1,IF(AND(YEAR(VeebrP1+33)=Kalendriaasta,MONTH(VeebrP1+33)=2),VeebrP1+33,""),IF(AND(YEAR(VeebrP1+40)=Kalendriaasta,MONTH(VeebrP1+40)=2),VeebrP1+40,""))</f>
        <v/>
      </c>
      <c r="P10" s="25" t="str">
        <f>IF(DAY(VeebrP1)=1,IF(AND(YEAR(VeebrP1+34)=Kalendriaasta,MONTH(VeebrP1+34)=2),VeebrP1+34,""),IF(AND(YEAR(VeebrP1+41)=Kalendriaasta,MONTH(VeebrP1+41)=2),VeebrP1+41,""))</f>
        <v/>
      </c>
      <c r="Q10" s="25" t="str">
        <f>IF(DAY(VeebrP1)=1,IF(AND(YEAR(VeebrP1+35)=Kalendriaasta,MONTH(VeebrP1+35)=2),VeebrP1+35,""),IF(AND(YEAR(VeebrP1+42)=Kalendriaasta,MONTH(VeebrP1+42)=2),VeebrP1+42,""))</f>
        <v/>
      </c>
      <c r="S10" s="24"/>
      <c r="U10" s="3" t="s">
        <v>51</v>
      </c>
      <c r="V10" s="30"/>
      <c r="W10" s="30"/>
    </row>
    <row r="11" spans="1:23" ht="15" customHeight="1" x14ac:dyDescent="0.2">
      <c r="C11" s="22"/>
      <c r="D11" s="22"/>
      <c r="E11" s="22"/>
      <c r="F11" s="22"/>
      <c r="G11" s="22"/>
      <c r="H11" s="22"/>
      <c r="I11" s="22"/>
      <c r="J11" s="22"/>
      <c r="K11" s="22"/>
      <c r="L11" s="22"/>
      <c r="M11" s="22"/>
      <c r="N11" s="22"/>
      <c r="O11" s="22"/>
      <c r="P11" s="22"/>
      <c r="Q11" s="22"/>
      <c r="S11" s="24"/>
      <c r="U11" s="2"/>
      <c r="V11" s="30"/>
      <c r="W11" s="30"/>
    </row>
    <row r="12" spans="1:23" ht="15" customHeight="1" x14ac:dyDescent="0.2">
      <c r="A12" s="18" t="s">
        <v>11</v>
      </c>
      <c r="C12" s="28" t="s">
        <v>28</v>
      </c>
      <c r="D12" s="28"/>
      <c r="E12" s="28"/>
      <c r="F12" s="28"/>
      <c r="G12" s="28"/>
      <c r="H12" s="28"/>
      <c r="I12" s="28"/>
      <c r="K12" s="28" t="s">
        <v>40</v>
      </c>
      <c r="L12" s="28"/>
      <c r="M12" s="28"/>
      <c r="N12" s="28"/>
      <c r="O12" s="28"/>
      <c r="P12" s="28"/>
      <c r="Q12" s="28"/>
      <c r="S12" s="24"/>
      <c r="U12" s="10"/>
      <c r="V12" s="30"/>
      <c r="W12" s="30"/>
    </row>
    <row r="13" spans="1:23" ht="15" customHeight="1" x14ac:dyDescent="0.25">
      <c r="A13" s="18" t="s">
        <v>12</v>
      </c>
      <c r="C13" s="11" t="s">
        <v>27</v>
      </c>
      <c r="D13" s="11" t="s">
        <v>33</v>
      </c>
      <c r="E13" s="11" t="s">
        <v>34</v>
      </c>
      <c r="F13" s="11" t="s">
        <v>35</v>
      </c>
      <c r="G13" s="11" t="s">
        <v>36</v>
      </c>
      <c r="H13" s="11" t="s">
        <v>37</v>
      </c>
      <c r="I13" s="11" t="s">
        <v>38</v>
      </c>
      <c r="J13" s="21"/>
      <c r="K13" s="11" t="s">
        <v>27</v>
      </c>
      <c r="L13" s="11" t="s">
        <v>33</v>
      </c>
      <c r="M13" s="11" t="s">
        <v>34</v>
      </c>
      <c r="N13" s="11" t="s">
        <v>35</v>
      </c>
      <c r="O13" s="11" t="s">
        <v>36</v>
      </c>
      <c r="P13" s="11" t="s">
        <v>37</v>
      </c>
      <c r="Q13" s="11" t="s">
        <v>38</v>
      </c>
      <c r="S13" s="24"/>
      <c r="U13" s="3"/>
      <c r="V13" s="30"/>
      <c r="W13" s="30"/>
    </row>
    <row r="14" spans="1:23" ht="15" customHeight="1" x14ac:dyDescent="0.2">
      <c r="C14" s="25" t="str">
        <f>IF(DAY(MärtsP1)=1,"",IF(AND(YEAR(MärtsP1+1)=Kalendriaasta,MONTH(MärtsP1+1)=3),MärtsP1+1,""))</f>
        <v/>
      </c>
      <c r="D14" s="25" t="str">
        <f>IF(DAY(MärtsP1)=1,"",IF(AND(YEAR(MärtsP1+2)=Kalendriaasta,MONTH(MärtsP1+2)=3),MärtsP1+2,""))</f>
        <v/>
      </c>
      <c r="E14" s="25" t="str">
        <f>IF(DAY(MärtsP1)=1,"",IF(AND(YEAR(MärtsP1+3)=Kalendriaasta,MONTH(MärtsP1+3)=3),MärtsP1+3,""))</f>
        <v/>
      </c>
      <c r="F14" s="25" t="str">
        <f>IF(DAY(MärtsP1)=1,"",IF(AND(YEAR(MärtsP1+4)=Kalendriaasta,MONTH(MärtsP1+4)=3),MärtsP1+4,""))</f>
        <v/>
      </c>
      <c r="G14" s="25" t="str">
        <f>IF(DAY(MärtsP1)=1,"",IF(AND(YEAR(MärtsP1+5)=Kalendriaasta,MONTH(MärtsP1+5)=3),MärtsP1+5,""))</f>
        <v/>
      </c>
      <c r="H14" s="25" t="str">
        <f>IF(DAY(MärtsP1)=1,"",IF(AND(YEAR(MärtsP1+6)=Kalendriaasta,MONTH(MärtsP1+6)=3),MärtsP1+6,""))</f>
        <v/>
      </c>
      <c r="I14" s="25">
        <f>IF(DAY(MärtsP1)=1,IF(AND(YEAR(MärtsP1)=Kalendriaasta,MONTH(MärtsP1)=3),MärtsP1,""),IF(AND(YEAR(MärtsP1+7)=Kalendriaasta,MONTH(MärtsP1+7)=3),MärtsP1+7,""))</f>
        <v>43891</v>
      </c>
      <c r="J14" s="22"/>
      <c r="K14" s="25" t="str">
        <f>IF(DAY(AprP1)=1,"",IF(AND(YEAR(AprP1+1)=Kalendriaasta,MONTH(AprP1+1)=4),AprP1+1,""))</f>
        <v/>
      </c>
      <c r="L14" s="25" t="str">
        <f>IF(DAY(AprP1)=1,"",IF(AND(YEAR(AprP1+2)=Kalendriaasta,MONTH(AprP1+2)=4),AprP1+2,""))</f>
        <v/>
      </c>
      <c r="M14" s="25">
        <f>IF(DAY(AprP1)=1,"",IF(AND(YEAR(AprP1+3)=Kalendriaasta,MONTH(AprP1+3)=4),AprP1+3,""))</f>
        <v>43922</v>
      </c>
      <c r="N14" s="25">
        <f>IF(DAY(AprP1)=1,"",IF(AND(YEAR(AprP1+4)=Kalendriaasta,MONTH(AprP1+4)=4),AprP1+4,""))</f>
        <v>43923</v>
      </c>
      <c r="O14" s="25">
        <f>IF(DAY(AprP1)=1,"",IF(AND(YEAR(AprP1+5)=Kalendriaasta,MONTH(AprP1+5)=4),AprP1+5,""))</f>
        <v>43924</v>
      </c>
      <c r="P14" s="25">
        <f>IF(DAY(AprP1)=1,"",IF(AND(YEAR(AprP1+6)=Kalendriaasta,MONTH(AprP1+6)=4),AprP1+6,""))</f>
        <v>43925</v>
      </c>
      <c r="Q14" s="25">
        <f>IF(DAY(AprP1)=1,IF(AND(YEAR(AprP1)=Kalendriaasta,MONTH(AprP1)=4),AprP1,""),IF(AND(YEAR(AprP1+7)=Kalendriaasta,MONTH(AprP1+7)=4),AprP1+7,""))</f>
        <v>43926</v>
      </c>
      <c r="S14" s="24"/>
      <c r="U14" s="2"/>
      <c r="V14" s="30"/>
      <c r="W14" s="30"/>
    </row>
    <row r="15" spans="1:23" ht="15" customHeight="1" x14ac:dyDescent="0.2">
      <c r="A15" s="18"/>
      <c r="C15" s="25">
        <f>IF(DAY(MärtsP1)=1,IF(AND(YEAR(MärtsP1+1)=Kalendriaasta,MONTH(MärtsP1+1)=3),MärtsP1+1,""),IF(AND(YEAR(MärtsP1+8)=Kalendriaasta,MONTH(MärtsP1+8)=3),MärtsP1+8,""))</f>
        <v>43892</v>
      </c>
      <c r="D15" s="25">
        <f>IF(DAY(MärtsP1)=1,IF(AND(YEAR(MärtsP1+2)=Kalendriaasta,MONTH(MärtsP1+2)=3),MärtsP1+2,""),IF(AND(YEAR(MärtsP1+9)=Kalendriaasta,MONTH(MärtsP1+9)=3),MärtsP1+9,""))</f>
        <v>43893</v>
      </c>
      <c r="E15" s="25">
        <f>IF(DAY(MärtsP1)=1,IF(AND(YEAR(MärtsP1+3)=Kalendriaasta,MONTH(MärtsP1+3)=3),MärtsP1+3,""),IF(AND(YEAR(MärtsP1+10)=Kalendriaasta,MONTH(MärtsP1+10)=3),MärtsP1+10,""))</f>
        <v>43894</v>
      </c>
      <c r="F15" s="25">
        <f>IF(DAY(MärtsP1)=1,IF(AND(YEAR(MärtsP1+4)=Kalendriaasta,MONTH(MärtsP1+4)=3),MärtsP1+4,""),IF(AND(YEAR(MärtsP1+11)=Kalendriaasta,MONTH(MärtsP1+11)=3),MärtsP1+11,""))</f>
        <v>43895</v>
      </c>
      <c r="G15" s="25">
        <f>IF(DAY(MärtsP1)=1,IF(AND(YEAR(MärtsP1+5)=Kalendriaasta,MONTH(MärtsP1+5)=3),MärtsP1+5,""),IF(AND(YEAR(MärtsP1+12)=Kalendriaasta,MONTH(MärtsP1+12)=3),MärtsP1+12,""))</f>
        <v>43896</v>
      </c>
      <c r="H15" s="25">
        <f>IF(DAY(MärtsP1)=1,IF(AND(YEAR(MärtsP1+6)=Kalendriaasta,MONTH(MärtsP1+6)=3),MärtsP1+6,""),IF(AND(YEAR(MärtsP1+13)=Kalendriaasta,MONTH(MärtsP1+13)=3),MärtsP1+13,""))</f>
        <v>43897</v>
      </c>
      <c r="I15" s="25">
        <f>IF(DAY(MärtsP1)=1,IF(AND(YEAR(MärtsP1+7)=Kalendriaasta,MONTH(MärtsP1+7)=3),MärtsP1+7,""),IF(AND(YEAR(MärtsP1+14)=Kalendriaasta,MONTH(MärtsP1+14)=3),MärtsP1+14,""))</f>
        <v>43898</v>
      </c>
      <c r="J15" s="22"/>
      <c r="K15" s="25">
        <f>IF(DAY(AprP1)=1,IF(AND(YEAR(AprP1+1)=Kalendriaasta,MONTH(AprP1+1)=4),AprP1+1,""),IF(AND(YEAR(AprP1+8)=Kalendriaasta,MONTH(AprP1+8)=4),AprP1+8,""))</f>
        <v>43927</v>
      </c>
      <c r="L15" s="25">
        <f>IF(DAY(AprP1)=1,IF(AND(YEAR(AprP1+2)=Kalendriaasta,MONTH(AprP1+2)=4),AprP1+2,""),IF(AND(YEAR(AprP1+9)=Kalendriaasta,MONTH(AprP1+9)=4),AprP1+9,""))</f>
        <v>43928</v>
      </c>
      <c r="M15" s="25">
        <f>IF(DAY(AprP1)=1,IF(AND(YEAR(AprP1+3)=Kalendriaasta,MONTH(AprP1+3)=4),AprP1+3,""),IF(AND(YEAR(AprP1+10)=Kalendriaasta,MONTH(AprP1+10)=4),AprP1+10,""))</f>
        <v>43929</v>
      </c>
      <c r="N15" s="25">
        <f>IF(DAY(AprP1)=1,IF(AND(YEAR(AprP1+4)=Kalendriaasta,MONTH(AprP1+4)=4),AprP1+4,""),IF(AND(YEAR(AprP1+11)=Kalendriaasta,MONTH(AprP1+11)=4),AprP1+11,""))</f>
        <v>43930</v>
      </c>
      <c r="O15" s="25">
        <f>IF(DAY(AprP1)=1,IF(AND(YEAR(AprP1+5)=Kalendriaasta,MONTH(AprP1+5)=4),AprP1+5,""),IF(AND(YEAR(AprP1+12)=Kalendriaasta,MONTH(AprP1+12)=4),AprP1+12,""))</f>
        <v>43931</v>
      </c>
      <c r="P15" s="25">
        <f>IF(DAY(AprP1)=1,IF(AND(YEAR(AprP1+6)=Kalendriaasta,MONTH(AprP1+6)=4),AprP1+6,""),IF(AND(YEAR(AprP1+13)=Kalendriaasta,MONTH(AprP1+13)=4),AprP1+13,""))</f>
        <v>43932</v>
      </c>
      <c r="Q15" s="25">
        <f>IF(DAY(AprP1)=1,IF(AND(YEAR(AprP1+7)=Kalendriaasta,MONTH(AprP1+7)=4),AprP1+7,""),IF(AND(YEAR(AprP1+14)=Kalendriaasta,MONTH(AprP1+14)=4),AprP1+14,""))</f>
        <v>43933</v>
      </c>
      <c r="S15" s="24"/>
      <c r="U15" s="10"/>
      <c r="V15" s="30"/>
      <c r="W15" s="30"/>
    </row>
    <row r="16" spans="1:23" ht="15" customHeight="1" x14ac:dyDescent="0.2">
      <c r="C16" s="25">
        <f>IF(DAY(MärtsP1)=1,IF(AND(YEAR(MärtsP1+8)=Kalendriaasta,MONTH(MärtsP1+8)=3),MärtsP1+8,""),IF(AND(YEAR(MärtsP1+15)=Kalendriaasta,MONTH(MärtsP1+15)=3),MärtsP1+15,""))</f>
        <v>43899</v>
      </c>
      <c r="D16" s="25">
        <f>IF(DAY(MärtsP1)=1,IF(AND(YEAR(MärtsP1+9)=Kalendriaasta,MONTH(MärtsP1+9)=3),MärtsP1+9,""),IF(AND(YEAR(MärtsP1+16)=Kalendriaasta,MONTH(MärtsP1+16)=3),MärtsP1+16,""))</f>
        <v>43900</v>
      </c>
      <c r="E16" s="25">
        <f>IF(DAY(MärtsP1)=1,IF(AND(YEAR(MärtsP1+10)=Kalendriaasta,MONTH(MärtsP1+10)=3),MärtsP1+10,""),IF(AND(YEAR(MärtsP1+17)=Kalendriaasta,MONTH(MärtsP1+17)=3),MärtsP1+17,""))</f>
        <v>43901</v>
      </c>
      <c r="F16" s="25">
        <f>IF(DAY(MärtsP1)=1,IF(AND(YEAR(MärtsP1+11)=Kalendriaasta,MONTH(MärtsP1+11)=3),MärtsP1+11,""),IF(AND(YEAR(MärtsP1+18)=Kalendriaasta,MONTH(MärtsP1+18)=3),MärtsP1+18,""))</f>
        <v>43902</v>
      </c>
      <c r="G16" s="25">
        <f>IF(DAY(MärtsP1)=1,IF(AND(YEAR(MärtsP1+12)=Kalendriaasta,MONTH(MärtsP1+12)=3),MärtsP1+12,""),IF(AND(YEAR(MärtsP1+19)=Kalendriaasta,MONTH(MärtsP1+19)=3),MärtsP1+19,""))</f>
        <v>43903</v>
      </c>
      <c r="H16" s="25">
        <f>IF(DAY(MärtsP1)=1,IF(AND(YEAR(MärtsP1+13)=Kalendriaasta,MONTH(MärtsP1+13)=3),MärtsP1+13,""),IF(AND(YEAR(MärtsP1+20)=Kalendriaasta,MONTH(MärtsP1+20)=3),MärtsP1+20,""))</f>
        <v>43904</v>
      </c>
      <c r="I16" s="25">
        <f>IF(DAY(MärtsP1)=1,IF(AND(YEAR(MärtsP1+14)=Kalendriaasta,MONTH(MärtsP1+14)=3),MärtsP1+14,""),IF(AND(YEAR(MärtsP1+21)=Kalendriaasta,MONTH(MärtsP1+21)=3),MärtsP1+21,""))</f>
        <v>43905</v>
      </c>
      <c r="J16" s="22"/>
      <c r="K16" s="25">
        <f>IF(DAY(AprP1)=1,IF(AND(YEAR(AprP1+8)=Kalendriaasta,MONTH(AprP1+8)=4),AprP1+8,""),IF(AND(YEAR(AprP1+15)=Kalendriaasta,MONTH(AprP1+15)=4),AprP1+15,""))</f>
        <v>43934</v>
      </c>
      <c r="L16" s="25">
        <f>IF(DAY(AprP1)=1,IF(AND(YEAR(AprP1+9)=Kalendriaasta,MONTH(AprP1+9)=4),AprP1+9,""),IF(AND(YEAR(AprP1+16)=Kalendriaasta,MONTH(AprP1+16)=4),AprP1+16,""))</f>
        <v>43935</v>
      </c>
      <c r="M16" s="25">
        <f>IF(DAY(AprP1)=1,IF(AND(YEAR(AprP1+10)=Kalendriaasta,MONTH(AprP1+10)=4),AprP1+10,""),IF(AND(YEAR(AprP1+17)=Kalendriaasta,MONTH(AprP1+17)=4),AprP1+17,""))</f>
        <v>43936</v>
      </c>
      <c r="N16" s="25">
        <f>IF(DAY(AprP1)=1,IF(AND(YEAR(AprP1+11)=Kalendriaasta,MONTH(AprP1+11)=4),AprP1+11,""),IF(AND(YEAR(AprP1+18)=Kalendriaasta,MONTH(AprP1+18)=4),AprP1+18,""))</f>
        <v>43937</v>
      </c>
      <c r="O16" s="25">
        <f>IF(DAY(AprP1)=1,IF(AND(YEAR(AprP1+12)=Kalendriaasta,MONTH(AprP1+12)=4),AprP1+12,""),IF(AND(YEAR(AprP1+19)=Kalendriaasta,MONTH(AprP1+19)=4),AprP1+19,""))</f>
        <v>43938</v>
      </c>
      <c r="P16" s="25">
        <f>IF(DAY(AprP1)=1,IF(AND(YEAR(AprP1+13)=Kalendriaasta,MONTH(AprP1+13)=4),AprP1+13,""),IF(AND(YEAR(AprP1+20)=Kalendriaasta,MONTH(AprP1+20)=4),AprP1+20,""))</f>
        <v>43939</v>
      </c>
      <c r="Q16" s="25">
        <f>IF(DAY(AprP1)=1,IF(AND(YEAR(AprP1+14)=Kalendriaasta,MONTH(AprP1+14)=4),AprP1+14,""),IF(AND(YEAR(AprP1+21)=Kalendriaasta,MONTH(AprP1+21)=4),AprP1+21,""))</f>
        <v>43940</v>
      </c>
      <c r="S16" s="24"/>
      <c r="U16" s="3"/>
      <c r="V16" s="30"/>
      <c r="W16" s="30"/>
    </row>
    <row r="17" spans="1:23" ht="15" customHeight="1" x14ac:dyDescent="0.2">
      <c r="C17" s="25">
        <f>IF(DAY(MärtsP1)=1,IF(AND(YEAR(MärtsP1+15)=Kalendriaasta,MONTH(MärtsP1+15)=3),MärtsP1+15,""),IF(AND(YEAR(MärtsP1+22)=Kalendriaasta,MONTH(MärtsP1+22)=3),MärtsP1+22,""))</f>
        <v>43906</v>
      </c>
      <c r="D17" s="25">
        <f>IF(DAY(MärtsP1)=1,IF(AND(YEAR(MärtsP1+16)=Kalendriaasta,MONTH(MärtsP1+16)=3),MärtsP1+16,""),IF(AND(YEAR(MärtsP1+23)=Kalendriaasta,MONTH(MärtsP1+23)=3),MärtsP1+23,""))</f>
        <v>43907</v>
      </c>
      <c r="E17" s="25">
        <f>IF(DAY(MärtsP1)=1,IF(AND(YEAR(MärtsP1+17)=Kalendriaasta,MONTH(MärtsP1+17)=3),MärtsP1+17,""),IF(AND(YEAR(MärtsP1+24)=Kalendriaasta,MONTH(MärtsP1+24)=3),MärtsP1+24,""))</f>
        <v>43908</v>
      </c>
      <c r="F17" s="25">
        <f>IF(DAY(MärtsP1)=1,IF(AND(YEAR(MärtsP1+18)=Kalendriaasta,MONTH(MärtsP1+18)=3),MärtsP1+18,""),IF(AND(YEAR(MärtsP1+25)=Kalendriaasta,MONTH(MärtsP1+25)=3),MärtsP1+25,""))</f>
        <v>43909</v>
      </c>
      <c r="G17" s="25">
        <f>IF(DAY(MärtsP1)=1,IF(AND(YEAR(MärtsP1+19)=Kalendriaasta,MONTH(MärtsP1+19)=3),MärtsP1+19,""),IF(AND(YEAR(MärtsP1+26)=Kalendriaasta,MONTH(MärtsP1+26)=3),MärtsP1+26,""))</f>
        <v>43910</v>
      </c>
      <c r="H17" s="25">
        <f>IF(DAY(MärtsP1)=1,IF(AND(YEAR(MärtsP1+20)=Kalendriaasta,MONTH(MärtsP1+20)=3),MärtsP1+20,""),IF(AND(YEAR(MärtsP1+27)=Kalendriaasta,MONTH(MärtsP1+27)=3),MärtsP1+27,""))</f>
        <v>43911</v>
      </c>
      <c r="I17" s="25">
        <f>IF(DAY(MärtsP1)=1,IF(AND(YEAR(MärtsP1+21)=Kalendriaasta,MONTH(MärtsP1+21)=3),MärtsP1+21,""),IF(AND(YEAR(MärtsP1+28)=Kalendriaasta,MONTH(MärtsP1+28)=3),MärtsP1+28,""))</f>
        <v>43912</v>
      </c>
      <c r="J17" s="22"/>
      <c r="K17" s="25">
        <f>IF(DAY(AprP1)=1,IF(AND(YEAR(AprP1+15)=Kalendriaasta,MONTH(AprP1+15)=4),AprP1+15,""),IF(AND(YEAR(AprP1+22)=Kalendriaasta,MONTH(AprP1+22)=4),AprP1+22,""))</f>
        <v>43941</v>
      </c>
      <c r="L17" s="25">
        <f>IF(DAY(AprP1)=1,IF(AND(YEAR(AprP1+16)=Kalendriaasta,MONTH(AprP1+16)=4),AprP1+16,""),IF(AND(YEAR(AprP1+23)=Kalendriaasta,MONTH(AprP1+23)=4),AprP1+23,""))</f>
        <v>43942</v>
      </c>
      <c r="M17" s="25">
        <f>IF(DAY(AprP1)=1,IF(AND(YEAR(AprP1+17)=Kalendriaasta,MONTH(AprP1+17)=4),AprP1+17,""),IF(AND(YEAR(AprP1+24)=Kalendriaasta,MONTH(AprP1+24)=4),AprP1+24,""))</f>
        <v>43943</v>
      </c>
      <c r="N17" s="25">
        <f>IF(DAY(AprP1)=1,IF(AND(YEAR(AprP1+18)=Kalendriaasta,MONTH(AprP1+18)=4),AprP1+18,""),IF(AND(YEAR(AprP1+25)=Kalendriaasta,MONTH(AprP1+25)=4),AprP1+25,""))</f>
        <v>43944</v>
      </c>
      <c r="O17" s="25">
        <f>IF(DAY(AprP1)=1,IF(AND(YEAR(AprP1+19)=Kalendriaasta,MONTH(AprP1+19)=4),AprP1+19,""),IF(AND(YEAR(AprP1+26)=Kalendriaasta,MONTH(AprP1+26)=4),AprP1+26,""))</f>
        <v>43945</v>
      </c>
      <c r="P17" s="25">
        <f>IF(DAY(AprP1)=1,IF(AND(YEAR(AprP1+20)=Kalendriaasta,MONTH(AprP1+20)=4),AprP1+20,""),IF(AND(YEAR(AprP1+27)=Kalendriaasta,MONTH(AprP1+27)=4),AprP1+27,""))</f>
        <v>43946</v>
      </c>
      <c r="Q17" s="25">
        <f>IF(DAY(AprP1)=1,IF(AND(YEAR(AprP1+21)=Kalendriaasta,MONTH(AprP1+21)=4),AprP1+21,""),IF(AND(YEAR(AprP1+28)=Kalendriaasta,MONTH(AprP1+28)=4),AprP1+28,""))</f>
        <v>43947</v>
      </c>
      <c r="S17" s="24"/>
      <c r="U17" s="2"/>
      <c r="V17" s="30"/>
      <c r="W17" s="30"/>
    </row>
    <row r="18" spans="1:23" ht="15" customHeight="1" x14ac:dyDescent="0.2">
      <c r="C18" s="25">
        <f>IF(DAY(MärtsP1)=1,IF(AND(YEAR(MärtsP1+22)=Kalendriaasta,MONTH(MärtsP1+22)=3),MärtsP1+22,""),IF(AND(YEAR(MärtsP1+29)=Kalendriaasta,MONTH(MärtsP1+29)=3),MärtsP1+29,""))</f>
        <v>43913</v>
      </c>
      <c r="D18" s="25">
        <f>IF(DAY(MärtsP1)=1,IF(AND(YEAR(MärtsP1+23)=Kalendriaasta,MONTH(MärtsP1+23)=3),MärtsP1+23,""),IF(AND(YEAR(MärtsP1+30)=Kalendriaasta,MONTH(MärtsP1+30)=3),MärtsP1+30,""))</f>
        <v>43914</v>
      </c>
      <c r="E18" s="25">
        <f>IF(DAY(MärtsP1)=1,IF(AND(YEAR(MärtsP1+24)=Kalendriaasta,MONTH(MärtsP1+24)=3),MärtsP1+24,""),IF(AND(YEAR(MärtsP1+31)=Kalendriaasta,MONTH(MärtsP1+31)=3),MärtsP1+31,""))</f>
        <v>43915</v>
      </c>
      <c r="F18" s="25">
        <f>IF(DAY(MärtsP1)=1,IF(AND(YEAR(MärtsP1+25)=Kalendriaasta,MONTH(MärtsP1+25)=3),MärtsP1+25,""),IF(AND(YEAR(MärtsP1+32)=Kalendriaasta,MONTH(MärtsP1+32)=3),MärtsP1+32,""))</f>
        <v>43916</v>
      </c>
      <c r="G18" s="25">
        <f>IF(DAY(MärtsP1)=1,IF(AND(YEAR(MärtsP1+26)=Kalendriaasta,MONTH(MärtsP1+26)=3),MärtsP1+26,""),IF(AND(YEAR(MärtsP1+33)=Kalendriaasta,MONTH(MärtsP1+33)=3),MärtsP1+33,""))</f>
        <v>43917</v>
      </c>
      <c r="H18" s="25">
        <f>IF(DAY(MärtsP1)=1,IF(AND(YEAR(MärtsP1+27)=Kalendriaasta,MONTH(MärtsP1+27)=3),MärtsP1+27,""),IF(AND(YEAR(MärtsP1+34)=Kalendriaasta,MONTH(MärtsP1+34)=3),MärtsP1+34,""))</f>
        <v>43918</v>
      </c>
      <c r="I18" s="25">
        <f>IF(DAY(MärtsP1)=1,IF(AND(YEAR(MärtsP1+28)=Kalendriaasta,MONTH(MärtsP1+28)=3),MärtsP1+28,""),IF(AND(YEAR(MärtsP1+35)=Kalendriaasta,MONTH(MärtsP1+35)=3),MärtsP1+35,""))</f>
        <v>43919</v>
      </c>
      <c r="J18" s="22"/>
      <c r="K18" s="25">
        <f>IF(DAY(AprP1)=1,IF(AND(YEAR(AprP1+22)=Kalendriaasta,MONTH(AprP1+22)=4),AprP1+22,""),IF(AND(YEAR(AprP1+29)=Kalendriaasta,MONTH(AprP1+29)=4),AprP1+29,""))</f>
        <v>43948</v>
      </c>
      <c r="L18" s="25">
        <f>IF(DAY(AprP1)=1,IF(AND(YEAR(AprP1+23)=Kalendriaasta,MONTH(AprP1+23)=4),AprP1+23,""),IF(AND(YEAR(AprP1+30)=Kalendriaasta,MONTH(AprP1+30)=4),AprP1+30,""))</f>
        <v>43949</v>
      </c>
      <c r="M18" s="25">
        <f>IF(DAY(AprP1)=1,IF(AND(YEAR(AprP1+24)=Kalendriaasta,MONTH(AprP1+24)=4),AprP1+24,""),IF(AND(YEAR(AprP1+31)=Kalendriaasta,MONTH(AprP1+31)=4),AprP1+31,""))</f>
        <v>43950</v>
      </c>
      <c r="N18" s="25">
        <f>IF(DAY(AprP1)=1,IF(AND(YEAR(AprP1+25)=Kalendriaasta,MONTH(AprP1+25)=4),AprP1+25,""),IF(AND(YEAR(AprP1+32)=Kalendriaasta,MONTH(AprP1+32)=4),AprP1+32,""))</f>
        <v>43951</v>
      </c>
      <c r="O18" s="25" t="str">
        <f>IF(DAY(AprP1)=1,IF(AND(YEAR(AprP1+26)=Kalendriaasta,MONTH(AprP1+26)=4),AprP1+26,""),IF(AND(YEAR(AprP1+33)=Kalendriaasta,MONTH(AprP1+33)=4),AprP1+33,""))</f>
        <v/>
      </c>
      <c r="P18" s="25" t="str">
        <f>IF(DAY(AprP1)=1,IF(AND(YEAR(AprP1+27)=Kalendriaasta,MONTH(AprP1+27)=4),AprP1+27,""),IF(AND(YEAR(AprP1+34)=Kalendriaasta,MONTH(AprP1+34)=4),AprP1+34,""))</f>
        <v/>
      </c>
      <c r="Q18" s="25" t="str">
        <f>IF(DAY(AprP1)=1,IF(AND(YEAR(AprP1+28)=Kalendriaasta,MONTH(AprP1+28)=4),AprP1+28,""),IF(AND(YEAR(AprP1+35)=Kalendriaasta,MONTH(AprP1+35)=4),AprP1+35,""))</f>
        <v/>
      </c>
      <c r="S18" s="24"/>
      <c r="U18" s="10"/>
      <c r="V18" s="30"/>
      <c r="W18" s="30"/>
    </row>
    <row r="19" spans="1:23" ht="15" customHeight="1" x14ac:dyDescent="0.2">
      <c r="C19" s="25">
        <f>IF(DAY(MärtsP1)=1,IF(AND(YEAR(MärtsP1+29)=Kalendriaasta,MONTH(MärtsP1+29)=3),MärtsP1+29,""),IF(AND(YEAR(MärtsP1+36)=Kalendriaasta,MONTH(MärtsP1+36)=3),MärtsP1+36,""))</f>
        <v>43920</v>
      </c>
      <c r="D19" s="25">
        <f>IF(DAY(MärtsP1)=1,IF(AND(YEAR(MärtsP1+30)=Kalendriaasta,MONTH(MärtsP1+30)=3),MärtsP1+30,""),IF(AND(YEAR(MärtsP1+37)=Kalendriaasta,MONTH(MärtsP1+37)=3),MärtsP1+37,""))</f>
        <v>43921</v>
      </c>
      <c r="E19" s="25" t="str">
        <f>IF(DAY(MärtsP1)=1,IF(AND(YEAR(MärtsP1+31)=Kalendriaasta,MONTH(MärtsP1+31)=3),MärtsP1+31,""),IF(AND(YEAR(MärtsP1+38)=Kalendriaasta,MONTH(MärtsP1+38)=3),MärtsP1+38,""))</f>
        <v/>
      </c>
      <c r="F19" s="25" t="str">
        <f>IF(DAY(MärtsP1)=1,IF(AND(YEAR(MärtsP1+32)=Kalendriaasta,MONTH(MärtsP1+32)=3),MärtsP1+32,""),IF(AND(YEAR(MärtsP1+39)=Kalendriaasta,MONTH(MärtsP1+39)=3),MärtsP1+39,""))</f>
        <v/>
      </c>
      <c r="G19" s="25" t="str">
        <f>IF(DAY(MärtsP1)=1,IF(AND(YEAR(MärtsP1+33)=Kalendriaasta,MONTH(MärtsP1+33)=3),MärtsP1+33,""),IF(AND(YEAR(MärtsP1+40)=Kalendriaasta,MONTH(MärtsP1+40)=3),MärtsP1+40,""))</f>
        <v/>
      </c>
      <c r="H19" s="25" t="str">
        <f>IF(DAY(MärtsP1)=1,IF(AND(YEAR(MärtsP1+34)=Kalendriaasta,MONTH(MärtsP1+34)=3),MärtsP1+34,""),IF(AND(YEAR(MärtsP1+41)=Kalendriaasta,MONTH(MärtsP1+41)=3),MärtsP1+41,""))</f>
        <v/>
      </c>
      <c r="I19" s="25" t="str">
        <f>IF(DAY(MärtsP1)=1,IF(AND(YEAR(MärtsP1+35)=Kalendriaasta,MONTH(MärtsP1+35)=3),MärtsP1+35,""),IF(AND(YEAR(MärtsP1+42)=Kalendriaasta,MONTH(MärtsP1+42)=3),MärtsP1+42,""))</f>
        <v/>
      </c>
      <c r="J19" s="22"/>
      <c r="K19" s="25" t="str">
        <f>IF(DAY(AprP1)=1,IF(AND(YEAR(AprP1+29)=Kalendriaasta,MONTH(AprP1+29)=4),AprP1+29,""),IF(AND(YEAR(AprP1+36)=Kalendriaasta,MONTH(AprP1+36)=4),AprP1+36,""))</f>
        <v/>
      </c>
      <c r="L19" s="25" t="str">
        <f>IF(DAY(AprP1)=1,IF(AND(YEAR(AprP1+30)=Kalendriaasta,MONTH(AprP1+30)=4),AprP1+30,""),IF(AND(YEAR(AprP1+37)=Kalendriaasta,MONTH(AprP1+37)=4),AprP1+37,""))</f>
        <v/>
      </c>
      <c r="M19" s="25" t="str">
        <f>IF(DAY(AprP1)=1,IF(AND(YEAR(AprP1+31)=Kalendriaasta,MONTH(AprP1+31)=4),AprP1+31,""),IF(AND(YEAR(AprP1+38)=Kalendriaasta,MONTH(AprP1+38)=4),AprP1+38,""))</f>
        <v/>
      </c>
      <c r="N19" s="25" t="str">
        <f>IF(DAY(AprP1)=1,IF(AND(YEAR(AprP1+32)=Kalendriaasta,MONTH(AprP1+32)=4),AprP1+32,""),IF(AND(YEAR(AprP1+39)=Kalendriaasta,MONTH(AprP1+39)=4),AprP1+39,""))</f>
        <v/>
      </c>
      <c r="O19" s="25" t="str">
        <f>IF(DAY(AprP1)=1,IF(AND(YEAR(AprP1+33)=Kalendriaasta,MONTH(AprP1+33)=4),AprP1+33,""),IF(AND(YEAR(AprP1+40)=Kalendriaasta,MONTH(AprP1+40)=4),AprP1+40,""))</f>
        <v/>
      </c>
      <c r="P19" s="25" t="str">
        <f>IF(DAY(AprP1)=1,IF(AND(YEAR(AprP1+34)=Kalendriaasta,MONTH(AprP1+34)=4),AprP1+34,""),IF(AND(YEAR(AprP1+41)=Kalendriaasta,MONTH(AprP1+41)=4),AprP1+41,""))</f>
        <v/>
      </c>
      <c r="Q19" s="25" t="str">
        <f>IF(DAY(AprP1)=1,IF(AND(YEAR(AprP1+35)=Kalendriaasta,MONTH(AprP1+35)=4),AprP1+35,""),IF(AND(YEAR(AprP1+42)=Kalendriaasta,MONTH(AprP1+42)=4),AprP1+42,""))</f>
        <v/>
      </c>
      <c r="S19" s="24"/>
      <c r="U19" s="3"/>
      <c r="V19" s="30"/>
      <c r="W19" s="30"/>
    </row>
    <row r="20" spans="1:23" ht="15" customHeight="1" x14ac:dyDescent="0.2">
      <c r="J20" s="22"/>
      <c r="S20" s="24"/>
      <c r="U20" s="2"/>
      <c r="V20" s="30"/>
      <c r="W20" s="30"/>
    </row>
    <row r="21" spans="1:23" ht="15" customHeight="1" x14ac:dyDescent="0.2">
      <c r="A21" s="18" t="s">
        <v>13</v>
      </c>
      <c r="C21" s="28" t="s">
        <v>29</v>
      </c>
      <c r="D21" s="28"/>
      <c r="E21" s="28"/>
      <c r="F21" s="28"/>
      <c r="G21" s="28"/>
      <c r="H21" s="28"/>
      <c r="I21" s="28"/>
      <c r="J21" s="22"/>
      <c r="K21" s="28" t="s">
        <v>41</v>
      </c>
      <c r="L21" s="28"/>
      <c r="M21" s="28"/>
      <c r="N21" s="28"/>
      <c r="O21" s="28"/>
      <c r="P21" s="28"/>
      <c r="Q21" s="28"/>
      <c r="S21" s="24"/>
      <c r="U21" s="10"/>
      <c r="V21" s="30"/>
      <c r="W21" s="30"/>
    </row>
    <row r="22" spans="1:23" ht="15" customHeight="1" x14ac:dyDescent="0.2">
      <c r="A22" s="18" t="s">
        <v>14</v>
      </c>
      <c r="C22" s="11" t="s">
        <v>27</v>
      </c>
      <c r="D22" s="11" t="s">
        <v>33</v>
      </c>
      <c r="E22" s="11" t="s">
        <v>34</v>
      </c>
      <c r="F22" s="11" t="s">
        <v>35</v>
      </c>
      <c r="G22" s="11" t="s">
        <v>36</v>
      </c>
      <c r="H22" s="11" t="s">
        <v>37</v>
      </c>
      <c r="I22" s="11" t="s">
        <v>38</v>
      </c>
      <c r="K22" s="11" t="s">
        <v>27</v>
      </c>
      <c r="L22" s="11" t="s">
        <v>33</v>
      </c>
      <c r="M22" s="11" t="s">
        <v>34</v>
      </c>
      <c r="N22" s="11" t="s">
        <v>35</v>
      </c>
      <c r="O22" s="11" t="s">
        <v>36</v>
      </c>
      <c r="P22" s="11" t="s">
        <v>37</v>
      </c>
      <c r="Q22" s="11" t="s">
        <v>38</v>
      </c>
      <c r="S22" s="24"/>
      <c r="U22" s="3"/>
      <c r="V22" s="30"/>
      <c r="W22" s="30"/>
    </row>
    <row r="23" spans="1:23" ht="15" customHeight="1" x14ac:dyDescent="0.25">
      <c r="A23" s="18"/>
      <c r="C23" s="25" t="str">
        <f>IF(DAY(MaiP1)=1,"",IF(AND(YEAR(MaiP1+1)=Kalendriaasta,MONTH(MaiP1+1)=5),MaiP1+1,""))</f>
        <v/>
      </c>
      <c r="D23" s="25" t="str">
        <f>IF(DAY(MaiP1)=1,"",IF(AND(YEAR(MaiP1+2)=Kalendriaasta,MONTH(MaiP1+2)=5),MaiP1+2,""))</f>
        <v/>
      </c>
      <c r="E23" s="25" t="str">
        <f>IF(DAY(MaiP1)=1,"",IF(AND(YEAR(MaiP1+3)=Kalendriaasta,MONTH(MaiP1+3)=5),MaiP1+3,""))</f>
        <v/>
      </c>
      <c r="F23" s="25" t="str">
        <f>IF(DAY(MaiP1)=1,"",IF(AND(YEAR(MaiP1+4)=Kalendriaasta,MONTH(MaiP1+4)=5),MaiP1+4,""))</f>
        <v/>
      </c>
      <c r="G23" s="25">
        <f>IF(DAY(MaiP1)=1,"",IF(AND(YEAR(MaiP1+5)=Kalendriaasta,MONTH(MaiP1+5)=5),MaiP1+5,""))</f>
        <v>43952</v>
      </c>
      <c r="H23" s="25">
        <f>IF(DAY(MaiP1)=1,"",IF(AND(YEAR(MaiP1+6)=Kalendriaasta,MONTH(MaiP1+6)=5),MaiP1+6,""))</f>
        <v>43953</v>
      </c>
      <c r="I23" s="25">
        <f>IF(DAY(MaiP1)=1,IF(AND(YEAR(MaiP1)=Kalendriaasta,MONTH(MaiP1)=5),MaiP1,""),IF(AND(YEAR(MaiP1+7)=Kalendriaasta,MONTH(MaiP1+7)=5),MaiP1+7,""))</f>
        <v>43954</v>
      </c>
      <c r="J23" s="21"/>
      <c r="K23" s="25">
        <f>IF(DAY(JuuniP1)=1,"",IF(AND(YEAR(JuuniP1+1)=Kalendriaasta,MONTH(JuuniP1+1)=6),JuuniP1+1,""))</f>
        <v>43983</v>
      </c>
      <c r="L23" s="25">
        <f>IF(DAY(JuuniP1)=1,"",IF(AND(YEAR(JuuniP1+2)=Kalendriaasta,MONTH(JuuniP1+2)=6),JuuniP1+2,""))</f>
        <v>43984</v>
      </c>
      <c r="M23" s="25">
        <f>IF(DAY(JuuniP1)=1,"",IF(AND(YEAR(JuuniP1+3)=Kalendriaasta,MONTH(JuuniP1+3)=6),JuuniP1+3,""))</f>
        <v>43985</v>
      </c>
      <c r="N23" s="25">
        <f>IF(DAY(JuuniP1)=1,"",IF(AND(YEAR(JuuniP1+4)=Kalendriaasta,MONTH(JuuniP1+4)=6),JuuniP1+4,""))</f>
        <v>43986</v>
      </c>
      <c r="O23" s="25">
        <f>IF(DAY(JuuniP1)=1,"",IF(AND(YEAR(JuuniP1+5)=Kalendriaasta,MONTH(JuuniP1+5)=6),JuuniP1+5,""))</f>
        <v>43987</v>
      </c>
      <c r="P23" s="25">
        <f>IF(DAY(JuuniP1)=1,"",IF(AND(YEAR(JuuniP1+6)=Kalendriaasta,MONTH(JuuniP1+6)=6),JuuniP1+6,""))</f>
        <v>43988</v>
      </c>
      <c r="Q23" s="25">
        <f>IF(DAY(JuuniP1)=1,IF(AND(YEAR(JuuniP1)=Kalendriaasta,MONTH(JuuniP1)=6),JuuniP1,""),IF(AND(YEAR(JuuniP1+7)=Kalendriaasta,MONTH(JuuniP1+7)=6),JuuniP1+7,""))</f>
        <v>43989</v>
      </c>
      <c r="S23" s="24"/>
      <c r="U23" s="2"/>
      <c r="V23" s="30"/>
      <c r="W23" s="30"/>
    </row>
    <row r="24" spans="1:23" ht="15" customHeight="1" x14ac:dyDescent="0.2">
      <c r="C24" s="25">
        <f>IF(DAY(MaiP1)=1,IF(AND(YEAR(MaiP1+1)=Kalendriaasta,MONTH(MaiP1+1)=5),MaiP1+1,""),IF(AND(YEAR(MaiP1+8)=Kalendriaasta,MONTH(MaiP1+8)=5),MaiP1+8,""))</f>
        <v>43955</v>
      </c>
      <c r="D24" s="25">
        <f>IF(DAY(MaiP1)=1,IF(AND(YEAR(MaiP1+2)=Kalendriaasta,MONTH(MaiP1+2)=5),MaiP1+2,""),IF(AND(YEAR(MaiP1+9)=Kalendriaasta,MONTH(MaiP1+9)=5),MaiP1+9,""))</f>
        <v>43956</v>
      </c>
      <c r="E24" s="25">
        <f>IF(DAY(MaiP1)=1,IF(AND(YEAR(MaiP1+3)=Kalendriaasta,MONTH(MaiP1+3)=5),MaiP1+3,""),IF(AND(YEAR(MaiP1+10)=Kalendriaasta,MONTH(MaiP1+10)=5),MaiP1+10,""))</f>
        <v>43957</v>
      </c>
      <c r="F24" s="25">
        <f>IF(DAY(MaiP1)=1,IF(AND(YEAR(MaiP1+4)=Kalendriaasta,MONTH(MaiP1+4)=5),MaiP1+4,""),IF(AND(YEAR(MaiP1+11)=Kalendriaasta,MONTH(MaiP1+11)=5),MaiP1+11,""))</f>
        <v>43958</v>
      </c>
      <c r="G24" s="25">
        <f>IF(DAY(MaiP1)=1,IF(AND(YEAR(MaiP1+5)=Kalendriaasta,MONTH(MaiP1+5)=5),MaiP1+5,""),IF(AND(YEAR(MaiP1+12)=Kalendriaasta,MONTH(MaiP1+12)=5),MaiP1+12,""))</f>
        <v>43959</v>
      </c>
      <c r="H24" s="25">
        <f>IF(DAY(MaiP1)=1,IF(AND(YEAR(MaiP1+6)=Kalendriaasta,MONTH(MaiP1+6)=5),MaiP1+6,""),IF(AND(YEAR(MaiP1+13)=Kalendriaasta,MONTH(MaiP1+13)=5),MaiP1+13,""))</f>
        <v>43960</v>
      </c>
      <c r="I24" s="25">
        <f>IF(DAY(MaiP1)=1,IF(AND(YEAR(MaiP1+7)=Kalendriaasta,MONTH(MaiP1+7)=5),MaiP1+7,""),IF(AND(YEAR(MaiP1+14)=Kalendriaasta,MONTH(MaiP1+14)=5),MaiP1+14,""))</f>
        <v>43961</v>
      </c>
      <c r="J24" s="22"/>
      <c r="K24" s="25">
        <f>IF(DAY(JuuniP1)=1,IF(AND(YEAR(JuuniP1+1)=Kalendriaasta,MONTH(JuuniP1+1)=6),JuuniP1+1,""),IF(AND(YEAR(JuuniP1+8)=Kalendriaasta,MONTH(JuuniP1+8)=6),JuuniP1+8,""))</f>
        <v>43990</v>
      </c>
      <c r="L24" s="25">
        <f>IF(DAY(JuuniP1)=1,IF(AND(YEAR(JuuniP1+2)=Kalendriaasta,MONTH(JuuniP1+2)=6),JuuniP1+2,""),IF(AND(YEAR(JuuniP1+9)=Kalendriaasta,MONTH(JuuniP1+9)=6),JuuniP1+9,""))</f>
        <v>43991</v>
      </c>
      <c r="M24" s="25">
        <f>IF(DAY(JuuniP1)=1,IF(AND(YEAR(JuuniP1+3)=Kalendriaasta,MONTH(JuuniP1+3)=6),JuuniP1+3,""),IF(AND(YEAR(JuuniP1+10)=Kalendriaasta,MONTH(JuuniP1+10)=6),JuuniP1+10,""))</f>
        <v>43992</v>
      </c>
      <c r="N24" s="25">
        <f>IF(DAY(JuuniP1)=1,IF(AND(YEAR(JuuniP1+4)=Kalendriaasta,MONTH(JuuniP1+4)=6),JuuniP1+4,""),IF(AND(YEAR(JuuniP1+11)=Kalendriaasta,MONTH(JuuniP1+11)=6),JuuniP1+11,""))</f>
        <v>43993</v>
      </c>
      <c r="O24" s="25">
        <f>IF(DAY(JuuniP1)=1,IF(AND(YEAR(JuuniP1+5)=Kalendriaasta,MONTH(JuuniP1+5)=6),JuuniP1+5,""),IF(AND(YEAR(JuuniP1+12)=Kalendriaasta,MONTH(JuuniP1+12)=6),JuuniP1+12,""))</f>
        <v>43994</v>
      </c>
      <c r="P24" s="25">
        <f>IF(DAY(JuuniP1)=1,IF(AND(YEAR(JuuniP1+6)=Kalendriaasta,MONTH(JuuniP1+6)=6),JuuniP1+6,""),IF(AND(YEAR(JuuniP1+13)=Kalendriaasta,MONTH(JuuniP1+13)=6),JuuniP1+13,""))</f>
        <v>43995</v>
      </c>
      <c r="Q24" s="25">
        <f>IF(DAY(JuuniP1)=1,IF(AND(YEAR(JuuniP1+7)=Kalendriaasta,MONTH(JuuniP1+7)=6),JuuniP1+7,""),IF(AND(YEAR(JuuniP1+14)=Kalendriaasta,MONTH(JuuniP1+14)=6),JuuniP1+14,""))</f>
        <v>43996</v>
      </c>
      <c r="S24" s="24"/>
      <c r="U24" s="10"/>
      <c r="V24" s="30"/>
      <c r="W24" s="30"/>
    </row>
    <row r="25" spans="1:23" ht="15" customHeight="1" x14ac:dyDescent="0.2">
      <c r="C25" s="25">
        <f>IF(DAY(MaiP1)=1,IF(AND(YEAR(MaiP1+8)=Kalendriaasta,MONTH(MaiP1+8)=5),MaiP1+8,""),IF(AND(YEAR(MaiP1+15)=Kalendriaasta,MONTH(MaiP1+15)=5),MaiP1+15,""))</f>
        <v>43962</v>
      </c>
      <c r="D25" s="25">
        <f>IF(DAY(MaiP1)=1,IF(AND(YEAR(MaiP1+9)=Kalendriaasta,MONTH(MaiP1+9)=5),MaiP1+9,""),IF(AND(YEAR(MaiP1+16)=Kalendriaasta,MONTH(MaiP1+16)=5),MaiP1+16,""))</f>
        <v>43963</v>
      </c>
      <c r="E25" s="25">
        <f>IF(DAY(MaiP1)=1,IF(AND(YEAR(MaiP1+10)=Kalendriaasta,MONTH(MaiP1+10)=5),MaiP1+10,""),IF(AND(YEAR(MaiP1+17)=Kalendriaasta,MONTH(MaiP1+17)=5),MaiP1+17,""))</f>
        <v>43964</v>
      </c>
      <c r="F25" s="25">
        <f>IF(DAY(MaiP1)=1,IF(AND(YEAR(MaiP1+11)=Kalendriaasta,MONTH(MaiP1+11)=5),MaiP1+11,""),IF(AND(YEAR(MaiP1+18)=Kalendriaasta,MONTH(MaiP1+18)=5),MaiP1+18,""))</f>
        <v>43965</v>
      </c>
      <c r="G25" s="25">
        <f>IF(DAY(MaiP1)=1,IF(AND(YEAR(MaiP1+12)=Kalendriaasta,MONTH(MaiP1+12)=5),MaiP1+12,""),IF(AND(YEAR(MaiP1+19)=Kalendriaasta,MONTH(MaiP1+19)=5),MaiP1+19,""))</f>
        <v>43966</v>
      </c>
      <c r="H25" s="25">
        <f>IF(DAY(MaiP1)=1,IF(AND(YEAR(MaiP1+13)=Kalendriaasta,MONTH(MaiP1+13)=5),MaiP1+13,""),IF(AND(YEAR(MaiP1+20)=Kalendriaasta,MONTH(MaiP1+20)=5),MaiP1+20,""))</f>
        <v>43967</v>
      </c>
      <c r="I25" s="25">
        <f>IF(DAY(MaiP1)=1,IF(AND(YEAR(MaiP1+14)=Kalendriaasta,MONTH(MaiP1+14)=5),MaiP1+14,""),IF(AND(YEAR(MaiP1+21)=Kalendriaasta,MONTH(MaiP1+21)=5),MaiP1+21,""))</f>
        <v>43968</v>
      </c>
      <c r="J25" s="22"/>
      <c r="K25" s="25">
        <f>IF(DAY(JuuniP1)=1,IF(AND(YEAR(JuuniP1+8)=Kalendriaasta,MONTH(JuuniP1+8)=6),JuuniP1+8,""),IF(AND(YEAR(JuuniP1+15)=Kalendriaasta,MONTH(JuuniP1+15)=6),JuuniP1+15,""))</f>
        <v>43997</v>
      </c>
      <c r="L25" s="25">
        <f>IF(DAY(JuuniP1)=1,IF(AND(YEAR(JuuniP1+9)=Kalendriaasta,MONTH(JuuniP1+9)=6),JuuniP1+9,""),IF(AND(YEAR(JuuniP1+16)=Kalendriaasta,MONTH(JuuniP1+16)=6),JuuniP1+16,""))</f>
        <v>43998</v>
      </c>
      <c r="M25" s="25">
        <f>IF(DAY(JuuniP1)=1,IF(AND(YEAR(JuuniP1+10)=Kalendriaasta,MONTH(JuuniP1+10)=6),JuuniP1+10,""),IF(AND(YEAR(JuuniP1+17)=Kalendriaasta,MONTH(JuuniP1+17)=6),JuuniP1+17,""))</f>
        <v>43999</v>
      </c>
      <c r="N25" s="25">
        <f>IF(DAY(JuuniP1)=1,IF(AND(YEAR(JuuniP1+11)=Kalendriaasta,MONTH(JuuniP1+11)=6),JuuniP1+11,""),IF(AND(YEAR(JuuniP1+18)=Kalendriaasta,MONTH(JuuniP1+18)=6),JuuniP1+18,""))</f>
        <v>44000</v>
      </c>
      <c r="O25" s="25">
        <f>IF(DAY(JuuniP1)=1,IF(AND(YEAR(JuuniP1+12)=Kalendriaasta,MONTH(JuuniP1+12)=6),JuuniP1+12,""),IF(AND(YEAR(JuuniP1+19)=Kalendriaasta,MONTH(JuuniP1+19)=6),JuuniP1+19,""))</f>
        <v>44001</v>
      </c>
      <c r="P25" s="25">
        <f>IF(DAY(JuuniP1)=1,IF(AND(YEAR(JuuniP1+13)=Kalendriaasta,MONTH(JuuniP1+13)=6),JuuniP1+13,""),IF(AND(YEAR(JuuniP1+20)=Kalendriaasta,MONTH(JuuniP1+20)=6),JuuniP1+20,""))</f>
        <v>44002</v>
      </c>
      <c r="Q25" s="25">
        <f>IF(DAY(JuuniP1)=1,IF(AND(YEAR(JuuniP1+14)=Kalendriaasta,MONTH(JuuniP1+14)=6),JuuniP1+14,""),IF(AND(YEAR(JuuniP1+21)=Kalendriaasta,MONTH(JuuniP1+21)=6),JuuniP1+21,""))</f>
        <v>44003</v>
      </c>
      <c r="S25" s="24"/>
      <c r="U25" s="3"/>
      <c r="V25" s="30"/>
      <c r="W25" s="30"/>
    </row>
    <row r="26" spans="1:23" ht="15" customHeight="1" x14ac:dyDescent="0.2">
      <c r="C26" s="25">
        <f>IF(DAY(MaiP1)=1,IF(AND(YEAR(MaiP1+15)=Kalendriaasta,MONTH(MaiP1+15)=5),MaiP1+15,""),IF(AND(YEAR(MaiP1+22)=Kalendriaasta,MONTH(MaiP1+22)=5),MaiP1+22,""))</f>
        <v>43969</v>
      </c>
      <c r="D26" s="25">
        <f>IF(DAY(MaiP1)=1,IF(AND(YEAR(MaiP1+16)=Kalendriaasta,MONTH(MaiP1+16)=5),MaiP1+16,""),IF(AND(YEAR(MaiP1+23)=Kalendriaasta,MONTH(MaiP1+23)=5),MaiP1+23,""))</f>
        <v>43970</v>
      </c>
      <c r="E26" s="25">
        <f>IF(DAY(MaiP1)=1,IF(AND(YEAR(MaiP1+17)=Kalendriaasta,MONTH(MaiP1+17)=5),MaiP1+17,""),IF(AND(YEAR(MaiP1+24)=Kalendriaasta,MONTH(MaiP1+24)=5),MaiP1+24,""))</f>
        <v>43971</v>
      </c>
      <c r="F26" s="25">
        <f>IF(DAY(MaiP1)=1,IF(AND(YEAR(MaiP1+18)=Kalendriaasta,MONTH(MaiP1+18)=5),MaiP1+18,""),IF(AND(YEAR(MaiP1+25)=Kalendriaasta,MONTH(MaiP1+25)=5),MaiP1+25,""))</f>
        <v>43972</v>
      </c>
      <c r="G26" s="25">
        <f>IF(DAY(MaiP1)=1,IF(AND(YEAR(MaiP1+19)=Kalendriaasta,MONTH(MaiP1+19)=5),MaiP1+19,""),IF(AND(YEAR(MaiP1+26)=Kalendriaasta,MONTH(MaiP1+26)=5),MaiP1+26,""))</f>
        <v>43973</v>
      </c>
      <c r="H26" s="25">
        <f>IF(DAY(MaiP1)=1,IF(AND(YEAR(MaiP1+20)=Kalendriaasta,MONTH(MaiP1+20)=5),MaiP1+20,""),IF(AND(YEAR(MaiP1+27)=Kalendriaasta,MONTH(MaiP1+27)=5),MaiP1+27,""))</f>
        <v>43974</v>
      </c>
      <c r="I26" s="25">
        <f>IF(DAY(MaiP1)=1,IF(AND(YEAR(MaiP1+21)=Kalendriaasta,MONTH(MaiP1+21)=5),MaiP1+21,""),IF(AND(YEAR(MaiP1+28)=Kalendriaasta,MONTH(MaiP1+28)=5),MaiP1+28,""))</f>
        <v>43975</v>
      </c>
      <c r="J26" s="22"/>
      <c r="K26" s="25">
        <f>IF(DAY(JuuniP1)=1,IF(AND(YEAR(JuuniP1+15)=Kalendriaasta,MONTH(JuuniP1+15)=6),JuuniP1+15,""),IF(AND(YEAR(JuuniP1+22)=Kalendriaasta,MONTH(JuuniP1+22)=6),JuuniP1+22,""))</f>
        <v>44004</v>
      </c>
      <c r="L26" s="25">
        <f>IF(DAY(JuuniP1)=1,IF(AND(YEAR(JuuniP1+16)=Kalendriaasta,MONTH(JuuniP1+16)=6),JuuniP1+16,""),IF(AND(YEAR(JuuniP1+23)=Kalendriaasta,MONTH(JuuniP1+23)=6),JuuniP1+23,""))</f>
        <v>44005</v>
      </c>
      <c r="M26" s="25">
        <f>IF(DAY(JuuniP1)=1,IF(AND(YEAR(JuuniP1+17)=Kalendriaasta,MONTH(JuuniP1+17)=6),JuuniP1+17,""),IF(AND(YEAR(JuuniP1+24)=Kalendriaasta,MONTH(JuuniP1+24)=6),JuuniP1+24,""))</f>
        <v>44006</v>
      </c>
      <c r="N26" s="25">
        <f>IF(DAY(JuuniP1)=1,IF(AND(YEAR(JuuniP1+18)=Kalendriaasta,MONTH(JuuniP1+18)=6),JuuniP1+18,""),IF(AND(YEAR(JuuniP1+25)=Kalendriaasta,MONTH(JuuniP1+25)=6),JuuniP1+25,""))</f>
        <v>44007</v>
      </c>
      <c r="O26" s="25">
        <f>IF(DAY(JuuniP1)=1,IF(AND(YEAR(JuuniP1+19)=Kalendriaasta,MONTH(JuuniP1+19)=6),JuuniP1+19,""),IF(AND(YEAR(JuuniP1+26)=Kalendriaasta,MONTH(JuuniP1+26)=6),JuuniP1+26,""))</f>
        <v>44008</v>
      </c>
      <c r="P26" s="25">
        <f>IF(DAY(JuuniP1)=1,IF(AND(YEAR(JuuniP1+20)=Kalendriaasta,MONTH(JuuniP1+20)=6),JuuniP1+20,""),IF(AND(YEAR(JuuniP1+27)=Kalendriaasta,MONTH(JuuniP1+27)=6),JuuniP1+27,""))</f>
        <v>44009</v>
      </c>
      <c r="Q26" s="25">
        <f>IF(DAY(JuuniP1)=1,IF(AND(YEAR(JuuniP1+21)=Kalendriaasta,MONTH(JuuniP1+21)=6),JuuniP1+21,""),IF(AND(YEAR(JuuniP1+28)=Kalendriaasta,MONTH(JuuniP1+28)=6),JuuniP1+28,""))</f>
        <v>44010</v>
      </c>
      <c r="S26" s="24"/>
      <c r="U26" s="2"/>
      <c r="V26" s="30"/>
      <c r="W26" s="30"/>
    </row>
    <row r="27" spans="1:23" ht="15" customHeight="1" x14ac:dyDescent="0.2">
      <c r="C27" s="25">
        <f>IF(DAY(MaiP1)=1,IF(AND(YEAR(MaiP1+22)=Kalendriaasta,MONTH(MaiP1+22)=5),MaiP1+22,""),IF(AND(YEAR(MaiP1+29)=Kalendriaasta,MONTH(MaiP1+29)=5),MaiP1+29,""))</f>
        <v>43976</v>
      </c>
      <c r="D27" s="25">
        <f>IF(DAY(MaiP1)=1,IF(AND(YEAR(MaiP1+23)=Kalendriaasta,MONTH(MaiP1+23)=5),MaiP1+23,""),IF(AND(YEAR(MaiP1+30)=Kalendriaasta,MONTH(MaiP1+30)=5),MaiP1+30,""))</f>
        <v>43977</v>
      </c>
      <c r="E27" s="25">
        <f>IF(DAY(MaiP1)=1,IF(AND(YEAR(MaiP1+24)=Kalendriaasta,MONTH(MaiP1+24)=5),MaiP1+24,""),IF(AND(YEAR(MaiP1+31)=Kalendriaasta,MONTH(MaiP1+31)=5),MaiP1+31,""))</f>
        <v>43978</v>
      </c>
      <c r="F27" s="25">
        <f>IF(DAY(MaiP1)=1,IF(AND(YEAR(MaiP1+25)=Kalendriaasta,MONTH(MaiP1+25)=5),MaiP1+25,""),IF(AND(YEAR(MaiP1+32)=Kalendriaasta,MONTH(MaiP1+32)=5),MaiP1+32,""))</f>
        <v>43979</v>
      </c>
      <c r="G27" s="25">
        <f>IF(DAY(MaiP1)=1,IF(AND(YEAR(MaiP1+26)=Kalendriaasta,MONTH(MaiP1+26)=5),MaiP1+26,""),IF(AND(YEAR(MaiP1+33)=Kalendriaasta,MONTH(MaiP1+33)=5),MaiP1+33,""))</f>
        <v>43980</v>
      </c>
      <c r="H27" s="25">
        <f>IF(DAY(MaiP1)=1,IF(AND(YEAR(MaiP1+27)=Kalendriaasta,MONTH(MaiP1+27)=5),MaiP1+27,""),IF(AND(YEAR(MaiP1+34)=Kalendriaasta,MONTH(MaiP1+34)=5),MaiP1+34,""))</f>
        <v>43981</v>
      </c>
      <c r="I27" s="25">
        <f>IF(DAY(MaiP1)=1,IF(AND(YEAR(MaiP1+28)=Kalendriaasta,MONTH(MaiP1+28)=5),MaiP1+28,""),IF(AND(YEAR(MaiP1+35)=Kalendriaasta,MONTH(MaiP1+35)=5),MaiP1+35,""))</f>
        <v>43982</v>
      </c>
      <c r="J27" s="22"/>
      <c r="K27" s="25">
        <f>IF(DAY(JuuniP1)=1,IF(AND(YEAR(JuuniP1+22)=Kalendriaasta,MONTH(JuuniP1+22)=6),JuuniP1+22,""),IF(AND(YEAR(JuuniP1+29)=Kalendriaasta,MONTH(JuuniP1+29)=6),JuuniP1+29,""))</f>
        <v>44011</v>
      </c>
      <c r="L27" s="25">
        <f>IF(DAY(JuuniP1)=1,IF(AND(YEAR(JuuniP1+23)=Kalendriaasta,MONTH(JuuniP1+23)=6),JuuniP1+23,""),IF(AND(YEAR(JuuniP1+30)=Kalendriaasta,MONTH(JuuniP1+30)=6),JuuniP1+30,""))</f>
        <v>44012</v>
      </c>
      <c r="M27" s="25" t="str">
        <f>IF(DAY(JuuniP1)=1,IF(AND(YEAR(JuuniP1+24)=Kalendriaasta,MONTH(JuuniP1+24)=6),JuuniP1+24,""),IF(AND(YEAR(JuuniP1+31)=Kalendriaasta,MONTH(JuuniP1+31)=6),JuuniP1+31,""))</f>
        <v/>
      </c>
      <c r="N27" s="25" t="str">
        <f>IF(DAY(JuuniP1)=1,IF(AND(YEAR(JuuniP1+25)=Kalendriaasta,MONTH(JuuniP1+25)=6),JuuniP1+25,""),IF(AND(YEAR(JuuniP1+32)=Kalendriaasta,MONTH(JuuniP1+32)=6),JuuniP1+32,""))</f>
        <v/>
      </c>
      <c r="O27" s="25" t="str">
        <f>IF(DAY(JuuniP1)=1,IF(AND(YEAR(JuuniP1+26)=Kalendriaasta,MONTH(JuuniP1+26)=6),JuuniP1+26,""),IF(AND(YEAR(JuuniP1+33)=Kalendriaasta,MONTH(JuuniP1+33)=6),JuuniP1+33,""))</f>
        <v/>
      </c>
      <c r="P27" s="25" t="str">
        <f>IF(DAY(JuuniP1)=1,IF(AND(YEAR(JuuniP1+27)=Kalendriaasta,MONTH(JuuniP1+27)=6),JuuniP1+27,""),IF(AND(YEAR(JuuniP1+34)=Kalendriaasta,MONTH(JuuniP1+34)=6),JuuniP1+34,""))</f>
        <v/>
      </c>
      <c r="Q27" s="25" t="str">
        <f>IF(DAY(JuuniP1)=1,IF(AND(YEAR(JuuniP1+28)=Kalendriaasta,MONTH(JuuniP1+28)=6),JuuniP1+28,""),IF(AND(YEAR(JuuniP1+35)=Kalendriaasta,MONTH(JuuniP1+35)=6),JuuniP1+35,""))</f>
        <v/>
      </c>
      <c r="S27" s="24"/>
      <c r="U27" s="10"/>
      <c r="V27" s="30"/>
      <c r="W27" s="30"/>
    </row>
    <row r="28" spans="1:23" ht="15" customHeight="1" x14ac:dyDescent="0.2">
      <c r="C28" s="25" t="str">
        <f>IF(DAY(MaiP1)=1,IF(AND(YEAR(MaiP1+29)=Kalendriaasta,MONTH(MaiP1+29)=5),MaiP1+29,""),IF(AND(YEAR(MaiP1+36)=Kalendriaasta,MONTH(MaiP1+36)=5),MaiP1+36,""))</f>
        <v/>
      </c>
      <c r="D28" s="25" t="str">
        <f>IF(DAY(MaiP1)=1,IF(AND(YEAR(MaiP1+30)=Kalendriaasta,MONTH(MaiP1+30)=5),MaiP1+30,""),IF(AND(YEAR(MaiP1+37)=Kalendriaasta,MONTH(MaiP1+37)=5),MaiP1+37,""))</f>
        <v/>
      </c>
      <c r="E28" s="25" t="str">
        <f>IF(DAY(MaiP1)=1,IF(AND(YEAR(MaiP1+31)=Kalendriaasta,MONTH(MaiP1+31)=5),MaiP1+31,""),IF(AND(YEAR(MaiP1+38)=Kalendriaasta,MONTH(MaiP1+38)=5),MaiP1+38,""))</f>
        <v/>
      </c>
      <c r="F28" s="25" t="str">
        <f>IF(DAY(MaiP1)=1,IF(AND(YEAR(MaiP1+32)=Kalendriaasta,MONTH(MaiP1+32)=5),MaiP1+32,""),IF(AND(YEAR(MaiP1+39)=Kalendriaasta,MONTH(MaiP1+39)=5),MaiP1+39,""))</f>
        <v/>
      </c>
      <c r="G28" s="25" t="str">
        <f>IF(DAY(MaiP1)=1,IF(AND(YEAR(MaiP1+33)=Kalendriaasta,MONTH(MaiP1+33)=5),MaiP1+33,""),IF(AND(YEAR(MaiP1+40)=Kalendriaasta,MONTH(MaiP1+40)=5),MaiP1+40,""))</f>
        <v/>
      </c>
      <c r="H28" s="25" t="str">
        <f>IF(DAY(MaiP1)=1,IF(AND(YEAR(MaiP1+34)=Kalendriaasta,MONTH(MaiP1+34)=5),MaiP1+34,""),IF(AND(YEAR(MaiP1+41)=Kalendriaasta,MONTH(MaiP1+41)=5),MaiP1+41,""))</f>
        <v/>
      </c>
      <c r="I28" s="25" t="str">
        <f>IF(DAY(MaiP1)=1,IF(AND(YEAR(MaiP1+35)=Kalendriaasta,MONTH(MaiP1+35)=5),MaiP1+35,""),IF(AND(YEAR(MaiP1+42)=Kalendriaasta,MONTH(MaiP1+42)=5),MaiP1+42,""))</f>
        <v/>
      </c>
      <c r="J28" s="22"/>
      <c r="K28" s="25" t="str">
        <f>IF(DAY(JuuniP1)=1,IF(AND(YEAR(JuuniP1+29)=Kalendriaasta,MONTH(JuuniP1+29)=6),JuuniP1+29,""),IF(AND(YEAR(JuuniP1+36)=Kalendriaasta,MONTH(JuuniP1+36)=6),JuuniP1+36,""))</f>
        <v/>
      </c>
      <c r="L28" s="25" t="str">
        <f>IF(DAY(JuuniP1)=1,IF(AND(YEAR(JuuniP1+30)=Kalendriaasta,MONTH(JuuniP1+30)=6),JuuniP1+30,""),IF(AND(YEAR(JuuniP1+37)=Kalendriaasta,MONTH(JuuniP1+37)=6),JuuniP1+37,""))</f>
        <v/>
      </c>
      <c r="M28" s="25" t="str">
        <f>IF(DAY(JuuniP1)=1,IF(AND(YEAR(JuuniP1+31)=Kalendriaasta,MONTH(JuuniP1+31)=6),JuuniP1+31,""),IF(AND(YEAR(JuuniP1+38)=Kalendriaasta,MONTH(JuuniP1+38)=6),JuuniP1+38,""))</f>
        <v/>
      </c>
      <c r="N28" s="25" t="str">
        <f>IF(DAY(JuuniP1)=1,IF(AND(YEAR(JuuniP1+32)=Kalendriaasta,MONTH(JuuniP1+32)=6),JuuniP1+32,""),IF(AND(YEAR(JuuniP1+39)=Kalendriaasta,MONTH(JuuniP1+39)=6),JuuniP1+39,""))</f>
        <v/>
      </c>
      <c r="O28" s="25" t="str">
        <f>IF(DAY(JuuniP1)=1,IF(AND(YEAR(JuuniP1+33)=Kalendriaasta,MONTH(JuuniP1+33)=6),JuuniP1+33,""),IF(AND(YEAR(JuuniP1+40)=Kalendriaasta,MONTH(JuuniP1+40)=6),JuuniP1+40,""))</f>
        <v/>
      </c>
      <c r="P28" s="25" t="str">
        <f>IF(DAY(JuuniP1)=1,IF(AND(YEAR(JuuniP1+34)=Kalendriaasta,MONTH(JuuniP1+34)=6),JuuniP1+34,""),IF(AND(YEAR(JuuniP1+41)=Kalendriaasta,MONTH(JuuniP1+41)=6),JuuniP1+41,""))</f>
        <v/>
      </c>
      <c r="Q28" s="25" t="str">
        <f>IF(DAY(JuuniP1)=1,IF(AND(YEAR(JuuniP1+35)=Kalendriaasta,MONTH(JuuniP1+35)=6),JuuniP1+35,""),IF(AND(YEAR(JuuniP1+42)=Kalendriaasta,MONTH(JuuniP1+42)=6),JuuniP1+42,""))</f>
        <v/>
      </c>
      <c r="S28" s="24"/>
      <c r="U28" s="3"/>
      <c r="V28" s="30"/>
      <c r="W28" s="30"/>
    </row>
    <row r="29" spans="1:23" ht="15" customHeight="1" x14ac:dyDescent="0.2">
      <c r="J29" s="22"/>
      <c r="S29" s="24"/>
      <c r="U29" s="2"/>
      <c r="V29" s="30"/>
      <c r="W29" s="30"/>
    </row>
    <row r="30" spans="1:23" ht="15" customHeight="1" x14ac:dyDescent="0.2">
      <c r="A30" s="18" t="s">
        <v>15</v>
      </c>
      <c r="C30" s="28" t="s">
        <v>30</v>
      </c>
      <c r="D30" s="28"/>
      <c r="E30" s="28"/>
      <c r="F30" s="28"/>
      <c r="G30" s="28"/>
      <c r="H30" s="28"/>
      <c r="I30" s="28"/>
      <c r="J30" s="22"/>
      <c r="K30" s="28" t="s">
        <v>42</v>
      </c>
      <c r="L30" s="28"/>
      <c r="M30" s="28"/>
      <c r="N30" s="28"/>
      <c r="O30" s="28"/>
      <c r="P30" s="28"/>
      <c r="Q30" s="28"/>
      <c r="S30" s="24"/>
      <c r="U30" s="10"/>
      <c r="V30" s="30"/>
      <c r="W30" s="30"/>
    </row>
    <row r="31" spans="1:23" ht="15" customHeight="1" x14ac:dyDescent="0.2">
      <c r="A31" s="18" t="s">
        <v>16</v>
      </c>
      <c r="C31" s="11" t="s">
        <v>27</v>
      </c>
      <c r="D31" s="11" t="s">
        <v>33</v>
      </c>
      <c r="E31" s="11" t="s">
        <v>34</v>
      </c>
      <c r="F31" s="11" t="s">
        <v>35</v>
      </c>
      <c r="G31" s="11" t="s">
        <v>36</v>
      </c>
      <c r="H31" s="11" t="s">
        <v>37</v>
      </c>
      <c r="I31" s="11" t="s">
        <v>38</v>
      </c>
      <c r="J31" s="22"/>
      <c r="K31" s="11" t="s">
        <v>27</v>
      </c>
      <c r="L31" s="11" t="s">
        <v>33</v>
      </c>
      <c r="M31" s="11" t="s">
        <v>34</v>
      </c>
      <c r="N31" s="11" t="s">
        <v>35</v>
      </c>
      <c r="O31" s="11" t="s">
        <v>36</v>
      </c>
      <c r="P31" s="11" t="s">
        <v>37</v>
      </c>
      <c r="Q31" s="11" t="s">
        <v>38</v>
      </c>
      <c r="S31" s="24"/>
      <c r="U31" s="3"/>
      <c r="V31" s="30"/>
      <c r="W31" s="30"/>
    </row>
    <row r="32" spans="1:23" ht="15" customHeight="1" x14ac:dyDescent="0.2">
      <c r="A32" s="18"/>
      <c r="C32" s="25" t="str">
        <f>IF(DAY(JuuliP1)=1,"",IF(AND(YEAR(JuuliP1+1)=Kalendriaasta,MONTH(JuuliP1+1)=7),JuuliP1+1,""))</f>
        <v/>
      </c>
      <c r="D32" s="25" t="str">
        <f>IF(DAY(JuuliP1)=1,"",IF(AND(YEAR(JuuliP1+2)=Kalendriaasta,MONTH(JuuliP1+2)=7),JuuliP1+2,""))</f>
        <v/>
      </c>
      <c r="E32" s="25">
        <f>IF(DAY(JuuliP1)=1,"",IF(AND(YEAR(JuuliP1+3)=Kalendriaasta,MONTH(JuuliP1+3)=7),JuuliP1+3,""))</f>
        <v>44013</v>
      </c>
      <c r="F32" s="25">
        <f>IF(DAY(JuuliP1)=1,"",IF(AND(YEAR(JuuliP1+4)=Kalendriaasta,MONTH(JuuliP1+4)=7),JuuliP1+4,""))</f>
        <v>44014</v>
      </c>
      <c r="G32" s="25">
        <f>IF(DAY(JuuliP1)=1,"",IF(AND(YEAR(JuuliP1+5)=Kalendriaasta,MONTH(JuuliP1+5)=7),JuuliP1+5,""))</f>
        <v>44015</v>
      </c>
      <c r="H32" s="25">
        <f>IF(DAY(JuuliP1)=1,"",IF(AND(YEAR(JuuliP1+6)=Kalendriaasta,MONTH(JuuliP1+6)=7),JuuliP1+6,""))</f>
        <v>44016</v>
      </c>
      <c r="I32" s="25">
        <f>IF(DAY(JuuliP1)=1,IF(AND(YEAR(JuuliP1)=Kalendriaasta,MONTH(JuuliP1)=7),JuuliP1,""),IF(AND(YEAR(JuuliP1+7)=Kalendriaasta,MONTH(JuuliP1+7)=7),JuuliP1+7,""))</f>
        <v>44017</v>
      </c>
      <c r="K32" s="25" t="str">
        <f>IF(DAY(AugP1)=1,"",IF(AND(YEAR(AugP1+1)=Kalendriaasta,MONTH(AugP1+1)=8),AugP1+1,""))</f>
        <v/>
      </c>
      <c r="L32" s="25" t="str">
        <f>IF(DAY(AugP1)=1,"",IF(AND(YEAR(AugP1+2)=Kalendriaasta,MONTH(AugP1+2)=8),AugP1+2,""))</f>
        <v/>
      </c>
      <c r="M32" s="25" t="str">
        <f>IF(DAY(AugP1)=1,"",IF(AND(YEAR(AugP1+3)=Kalendriaasta,MONTH(AugP1+3)=8),AugP1+3,""))</f>
        <v/>
      </c>
      <c r="N32" s="25" t="str">
        <f>IF(DAY(AugP1)=1,"",IF(AND(YEAR(AugP1+4)=Kalendriaasta,MONTH(AugP1+4)=8),AugP1+4,""))</f>
        <v/>
      </c>
      <c r="O32" s="25" t="str">
        <f>IF(DAY(AugP1)=1,"",IF(AND(YEAR(AugP1+5)=Kalendriaasta,MONTH(AugP1+5)=8),AugP1+5,""))</f>
        <v/>
      </c>
      <c r="P32" s="25">
        <f>IF(DAY(AugP1)=1,"",IF(AND(YEAR(AugP1+6)=Kalendriaasta,MONTH(AugP1+6)=8),AugP1+6,""))</f>
        <v>44044</v>
      </c>
      <c r="Q32" s="25">
        <f>IF(DAY(AugP1)=1,IF(AND(YEAR(AugP1)=Kalendriaasta,MONTH(AugP1)=8),AugP1,""),IF(AND(YEAR(AugP1+7)=Kalendriaasta,MONTH(AugP1+7)=8),AugP1+7,""))</f>
        <v>44045</v>
      </c>
      <c r="S32" s="24"/>
      <c r="U32" s="2"/>
      <c r="V32" s="30"/>
      <c r="W32" s="30"/>
    </row>
    <row r="33" spans="1:23" ht="15" customHeight="1" x14ac:dyDescent="0.2">
      <c r="A33" s="18"/>
      <c r="C33" s="25">
        <f>IF(DAY(JuuliP1)=1,IF(AND(YEAR(JuuliP1+1)=Kalendriaasta,MONTH(JuuliP1+1)=7),JuuliP1+1,""),IF(AND(YEAR(JuuliP1+8)=Kalendriaasta,MONTH(JuuliP1+8)=7),JuuliP1+8,""))</f>
        <v>44018</v>
      </c>
      <c r="D33" s="25">
        <f>IF(DAY(JuuliP1)=1,IF(AND(YEAR(JuuliP1+2)=Kalendriaasta,MONTH(JuuliP1+2)=7),JuuliP1+2,""),IF(AND(YEAR(JuuliP1+9)=Kalendriaasta,MONTH(JuuliP1+9)=7),JuuliP1+9,""))</f>
        <v>44019</v>
      </c>
      <c r="E33" s="25">
        <f>IF(DAY(JuuliP1)=1,IF(AND(YEAR(JuuliP1+3)=Kalendriaasta,MONTH(JuuliP1+3)=7),JuuliP1+3,""),IF(AND(YEAR(JuuliP1+10)=Kalendriaasta,MONTH(JuuliP1+10)=7),JuuliP1+10,""))</f>
        <v>44020</v>
      </c>
      <c r="F33" s="25">
        <f>IF(DAY(JuuliP1)=1,IF(AND(YEAR(JuuliP1+4)=Kalendriaasta,MONTH(JuuliP1+4)=7),JuuliP1+4,""),IF(AND(YEAR(JuuliP1+11)=Kalendriaasta,MONTH(JuuliP1+11)=7),JuuliP1+11,""))</f>
        <v>44021</v>
      </c>
      <c r="G33" s="25">
        <f>IF(DAY(JuuliP1)=1,IF(AND(YEAR(JuuliP1+5)=Kalendriaasta,MONTH(JuuliP1+5)=7),JuuliP1+5,""),IF(AND(YEAR(JuuliP1+12)=Kalendriaasta,MONTH(JuuliP1+12)=7),JuuliP1+12,""))</f>
        <v>44022</v>
      </c>
      <c r="H33" s="25">
        <f>IF(DAY(JuuliP1)=1,IF(AND(YEAR(JuuliP1+6)=Kalendriaasta,MONTH(JuuliP1+6)=7),JuuliP1+6,""),IF(AND(YEAR(JuuliP1+13)=Kalendriaasta,MONTH(JuuliP1+13)=7),JuuliP1+13,""))</f>
        <v>44023</v>
      </c>
      <c r="I33" s="25">
        <f>IF(DAY(JuuliP1)=1,IF(AND(YEAR(JuuliP1+7)=Kalendriaasta,MONTH(JuuliP1+7)=7),JuuliP1+7,""),IF(AND(YEAR(JuuliP1+14)=Kalendriaasta,MONTH(JuuliP1+14)=7),JuuliP1+14,""))</f>
        <v>44024</v>
      </c>
      <c r="K33" s="25">
        <f>IF(DAY(AugP1)=1,IF(AND(YEAR(AugP1+1)=Kalendriaasta,MONTH(AugP1+1)=8),AugP1+1,""),IF(AND(YEAR(AugP1+8)=Kalendriaasta,MONTH(AugP1+8)=8),AugP1+8,""))</f>
        <v>44046</v>
      </c>
      <c r="L33" s="25">
        <f>IF(DAY(AugP1)=1,IF(AND(YEAR(AugP1+2)=Kalendriaasta,MONTH(AugP1+2)=8),AugP1+2,""),IF(AND(YEAR(AugP1+9)=Kalendriaasta,MONTH(AugP1+9)=8),AugP1+9,""))</f>
        <v>44047</v>
      </c>
      <c r="M33" s="25">
        <f>IF(DAY(AugP1)=1,IF(AND(YEAR(AugP1+3)=Kalendriaasta,MONTH(AugP1+3)=8),AugP1+3,""),IF(AND(YEAR(AugP1+10)=Kalendriaasta,MONTH(AugP1+10)=8),AugP1+10,""))</f>
        <v>44048</v>
      </c>
      <c r="N33" s="25">
        <f>IF(DAY(AugP1)=1,IF(AND(YEAR(AugP1+4)=Kalendriaasta,MONTH(AugP1+4)=8),AugP1+4,""),IF(AND(YEAR(AugP1+11)=Kalendriaasta,MONTH(AugP1+11)=8),AugP1+11,""))</f>
        <v>44049</v>
      </c>
      <c r="O33" s="25">
        <f>IF(DAY(AugP1)=1,IF(AND(YEAR(AugP1+5)=Kalendriaasta,MONTH(AugP1+5)=8),AugP1+5,""),IF(AND(YEAR(AugP1+12)=Kalendriaasta,MONTH(AugP1+12)=8),AugP1+12,""))</f>
        <v>44050</v>
      </c>
      <c r="P33" s="25">
        <f>IF(DAY(AugP1)=1,IF(AND(YEAR(AugP1+6)=Kalendriaasta,MONTH(AugP1+6)=8),AugP1+6,""),IF(AND(YEAR(AugP1+13)=Kalendriaasta,MONTH(AugP1+13)=8),AugP1+13,""))</f>
        <v>44051</v>
      </c>
      <c r="Q33" s="25">
        <f>IF(DAY(AugP1)=1,IF(AND(YEAR(AugP1+7)=Kalendriaasta,MONTH(AugP1+7)=8),AugP1+7,""),IF(AND(YEAR(AugP1+14)=Kalendriaasta,MONTH(AugP1+14)=8),AugP1+14,""))</f>
        <v>44052</v>
      </c>
      <c r="S33" s="24"/>
      <c r="U33" s="10"/>
      <c r="V33" s="30"/>
      <c r="W33" s="30"/>
    </row>
    <row r="34" spans="1:23" ht="15" customHeight="1" x14ac:dyDescent="0.2">
      <c r="C34" s="25">
        <f>IF(DAY(JuuliP1)=1,IF(AND(YEAR(JuuliP1+8)=Kalendriaasta,MONTH(JuuliP1+8)=7),JuuliP1+8,""),IF(AND(YEAR(JuuliP1+15)=Kalendriaasta,MONTH(JuuliP1+15)=7),JuuliP1+15,""))</f>
        <v>44025</v>
      </c>
      <c r="D34" s="25">
        <f>IF(DAY(JuuliP1)=1,IF(AND(YEAR(JuuliP1+9)=Kalendriaasta,MONTH(JuuliP1+9)=7),JuuliP1+9,""),IF(AND(YEAR(JuuliP1+16)=Kalendriaasta,MONTH(JuuliP1+16)=7),JuuliP1+16,""))</f>
        <v>44026</v>
      </c>
      <c r="E34" s="25">
        <f>IF(DAY(JuuliP1)=1,IF(AND(YEAR(JuuliP1+10)=Kalendriaasta,MONTH(JuuliP1+10)=7),JuuliP1+10,""),IF(AND(YEAR(JuuliP1+17)=Kalendriaasta,MONTH(JuuliP1+17)=7),JuuliP1+17,""))</f>
        <v>44027</v>
      </c>
      <c r="F34" s="25">
        <f>IF(DAY(JuuliP1)=1,IF(AND(YEAR(JuuliP1+11)=Kalendriaasta,MONTH(JuuliP1+11)=7),JuuliP1+11,""),IF(AND(YEAR(JuuliP1+18)=Kalendriaasta,MONTH(JuuliP1+18)=7),JuuliP1+18,""))</f>
        <v>44028</v>
      </c>
      <c r="G34" s="25">
        <f>IF(DAY(JuuliP1)=1,IF(AND(YEAR(JuuliP1+12)=Kalendriaasta,MONTH(JuuliP1+12)=7),JuuliP1+12,""),IF(AND(YEAR(JuuliP1+19)=Kalendriaasta,MONTH(JuuliP1+19)=7),JuuliP1+19,""))</f>
        <v>44029</v>
      </c>
      <c r="H34" s="25">
        <f>IF(DAY(JuuliP1)=1,IF(AND(YEAR(JuuliP1+13)=Kalendriaasta,MONTH(JuuliP1+13)=7),JuuliP1+13,""),IF(AND(YEAR(JuuliP1+20)=Kalendriaasta,MONTH(JuuliP1+20)=7),JuuliP1+20,""))</f>
        <v>44030</v>
      </c>
      <c r="I34" s="25">
        <f>IF(DAY(JuuliP1)=1,IF(AND(YEAR(JuuliP1+14)=Kalendriaasta,MONTH(JuuliP1+14)=7),JuuliP1+14,""),IF(AND(YEAR(JuuliP1+21)=Kalendriaasta,MONTH(JuuliP1+21)=7),JuuliP1+21,""))</f>
        <v>44031</v>
      </c>
      <c r="K34" s="25">
        <f>IF(DAY(AugP1)=1,IF(AND(YEAR(AugP1+8)=Kalendriaasta,MONTH(AugP1+8)=8),AugP1+8,""),IF(AND(YEAR(AugP1+15)=Kalendriaasta,MONTH(AugP1+15)=8),AugP1+15,""))</f>
        <v>44053</v>
      </c>
      <c r="L34" s="25">
        <f>IF(DAY(AugP1)=1,IF(AND(YEAR(AugP1+9)=Kalendriaasta,MONTH(AugP1+9)=8),AugP1+9,""),IF(AND(YEAR(AugP1+16)=Kalendriaasta,MONTH(AugP1+16)=8),AugP1+16,""))</f>
        <v>44054</v>
      </c>
      <c r="M34" s="25">
        <f>IF(DAY(AugP1)=1,IF(AND(YEAR(AugP1+10)=Kalendriaasta,MONTH(AugP1+10)=8),AugP1+10,""),IF(AND(YEAR(AugP1+17)=Kalendriaasta,MONTH(AugP1+17)=8),AugP1+17,""))</f>
        <v>44055</v>
      </c>
      <c r="N34" s="25">
        <f>IF(DAY(AugP1)=1,IF(AND(YEAR(AugP1+11)=Kalendriaasta,MONTH(AugP1+11)=8),AugP1+11,""),IF(AND(YEAR(AugP1+18)=Kalendriaasta,MONTH(AugP1+18)=8),AugP1+18,""))</f>
        <v>44056</v>
      </c>
      <c r="O34" s="25">
        <f>IF(DAY(AugP1)=1,IF(AND(YEAR(AugP1+12)=Kalendriaasta,MONTH(AugP1+12)=8),AugP1+12,""),IF(AND(YEAR(AugP1+19)=Kalendriaasta,MONTH(AugP1+19)=8),AugP1+19,""))</f>
        <v>44057</v>
      </c>
      <c r="P34" s="25">
        <f>IF(DAY(AugP1)=1,IF(AND(YEAR(AugP1+13)=Kalendriaasta,MONTH(AugP1+13)=8),AugP1+13,""),IF(AND(YEAR(AugP1+20)=Kalendriaasta,MONTH(AugP1+20)=8),AugP1+20,""))</f>
        <v>44058</v>
      </c>
      <c r="Q34" s="25">
        <f>IF(DAY(AugP1)=1,IF(AND(YEAR(AugP1+14)=Kalendriaasta,MONTH(AugP1+14)=8),AugP1+14,""),IF(AND(YEAR(AugP1+21)=Kalendriaasta,MONTH(AugP1+21)=8),AugP1+21,""))</f>
        <v>44059</v>
      </c>
      <c r="S34" s="24"/>
      <c r="U34" s="3"/>
      <c r="V34" s="30"/>
      <c r="W34" s="30"/>
    </row>
    <row r="35" spans="1:23" ht="15" customHeight="1" x14ac:dyDescent="0.2">
      <c r="C35" s="25">
        <f>IF(DAY(JuuliP1)=1,IF(AND(YEAR(JuuliP1+15)=Kalendriaasta,MONTH(JuuliP1+15)=7),JuuliP1+15,""),IF(AND(YEAR(JuuliP1+22)=Kalendriaasta,MONTH(JuuliP1+22)=7),JuuliP1+22,""))</f>
        <v>44032</v>
      </c>
      <c r="D35" s="25">
        <f>IF(DAY(JuuliP1)=1,IF(AND(YEAR(JuuliP1+16)=Kalendriaasta,MONTH(JuuliP1+16)=7),JuuliP1+16,""),IF(AND(YEAR(JuuliP1+23)=Kalendriaasta,MONTH(JuuliP1+23)=7),JuuliP1+23,""))</f>
        <v>44033</v>
      </c>
      <c r="E35" s="25">
        <f>IF(DAY(JuuliP1)=1,IF(AND(YEAR(JuuliP1+17)=Kalendriaasta,MONTH(JuuliP1+17)=7),JuuliP1+17,""),IF(AND(YEAR(JuuliP1+24)=Kalendriaasta,MONTH(JuuliP1+24)=7),JuuliP1+24,""))</f>
        <v>44034</v>
      </c>
      <c r="F35" s="25">
        <f>IF(DAY(JuuliP1)=1,IF(AND(YEAR(JuuliP1+18)=Kalendriaasta,MONTH(JuuliP1+18)=7),JuuliP1+18,""),IF(AND(YEAR(JuuliP1+25)=Kalendriaasta,MONTH(JuuliP1+25)=7),JuuliP1+25,""))</f>
        <v>44035</v>
      </c>
      <c r="G35" s="25">
        <f>IF(DAY(JuuliP1)=1,IF(AND(YEAR(JuuliP1+19)=Kalendriaasta,MONTH(JuuliP1+19)=7),JuuliP1+19,""),IF(AND(YEAR(JuuliP1+26)=Kalendriaasta,MONTH(JuuliP1+26)=7),JuuliP1+26,""))</f>
        <v>44036</v>
      </c>
      <c r="H35" s="25">
        <f>IF(DAY(JuuliP1)=1,IF(AND(YEAR(JuuliP1+20)=Kalendriaasta,MONTH(JuuliP1+20)=7),JuuliP1+20,""),IF(AND(YEAR(JuuliP1+27)=Kalendriaasta,MONTH(JuuliP1+27)=7),JuuliP1+27,""))</f>
        <v>44037</v>
      </c>
      <c r="I35" s="25">
        <f>IF(DAY(JuuliP1)=1,IF(AND(YEAR(JuuliP1+21)=Kalendriaasta,MONTH(JuuliP1+21)=7),JuuliP1+21,""),IF(AND(YEAR(JuuliP1+28)=Kalendriaasta,MONTH(JuuliP1+28)=7),JuuliP1+28,""))</f>
        <v>44038</v>
      </c>
      <c r="K35" s="25">
        <f>IF(DAY(AugP1)=1,IF(AND(YEAR(AugP1+15)=Kalendriaasta,MONTH(AugP1+15)=8),AugP1+15,""),IF(AND(YEAR(AugP1+22)=Kalendriaasta,MONTH(AugP1+22)=8),AugP1+22,""))</f>
        <v>44060</v>
      </c>
      <c r="L35" s="25">
        <f>IF(DAY(AugP1)=1,IF(AND(YEAR(AugP1+16)=Kalendriaasta,MONTH(AugP1+16)=8),AugP1+16,""),IF(AND(YEAR(AugP1+23)=Kalendriaasta,MONTH(AugP1+23)=8),AugP1+23,""))</f>
        <v>44061</v>
      </c>
      <c r="M35" s="25">
        <f>IF(DAY(AugP1)=1,IF(AND(YEAR(AugP1+17)=Kalendriaasta,MONTH(AugP1+17)=8),AugP1+17,""),IF(AND(YEAR(AugP1+24)=Kalendriaasta,MONTH(AugP1+24)=8),AugP1+24,""))</f>
        <v>44062</v>
      </c>
      <c r="N35" s="25">
        <f>IF(DAY(AugP1)=1,IF(AND(YEAR(AugP1+18)=Kalendriaasta,MONTH(AugP1+18)=8),AugP1+18,""),IF(AND(YEAR(AugP1+25)=Kalendriaasta,MONTH(AugP1+25)=8),AugP1+25,""))</f>
        <v>44063</v>
      </c>
      <c r="O35" s="25">
        <f>IF(DAY(AugP1)=1,IF(AND(YEAR(AugP1+19)=Kalendriaasta,MONTH(AugP1+19)=8),AugP1+19,""),IF(AND(YEAR(AugP1+26)=Kalendriaasta,MONTH(AugP1+26)=8),AugP1+26,""))</f>
        <v>44064</v>
      </c>
      <c r="P35" s="25">
        <f>IF(DAY(AugP1)=1,IF(AND(YEAR(AugP1+20)=Kalendriaasta,MONTH(AugP1+20)=8),AugP1+20,""),IF(AND(YEAR(AugP1+27)=Kalendriaasta,MONTH(AugP1+27)=8),AugP1+27,""))</f>
        <v>44065</v>
      </c>
      <c r="Q35" s="25">
        <f>IF(DAY(AugP1)=1,IF(AND(YEAR(AugP1+21)=Kalendriaasta,MONTH(AugP1+21)=8),AugP1+21,""),IF(AND(YEAR(AugP1+28)=Kalendriaasta,MONTH(AugP1+28)=8),AugP1+28,""))</f>
        <v>44066</v>
      </c>
      <c r="S35" s="24"/>
      <c r="U35" s="2"/>
      <c r="V35" s="30"/>
      <c r="W35" s="30"/>
    </row>
    <row r="36" spans="1:23" ht="15" customHeight="1" x14ac:dyDescent="0.2">
      <c r="C36" s="25">
        <f>IF(DAY(JuuliP1)=1,IF(AND(YEAR(JuuliP1+22)=Kalendriaasta,MONTH(JuuliP1+22)=7),JuuliP1+22,""),IF(AND(YEAR(JuuliP1+29)=Kalendriaasta,MONTH(JuuliP1+29)=7),JuuliP1+29,""))</f>
        <v>44039</v>
      </c>
      <c r="D36" s="25">
        <f>IF(DAY(JuuliP1)=1,IF(AND(YEAR(JuuliP1+23)=Kalendriaasta,MONTH(JuuliP1+23)=7),JuuliP1+23,""),IF(AND(YEAR(JuuliP1+30)=Kalendriaasta,MONTH(JuuliP1+30)=7),JuuliP1+30,""))</f>
        <v>44040</v>
      </c>
      <c r="E36" s="25">
        <f>IF(DAY(JuuliP1)=1,IF(AND(YEAR(JuuliP1+24)=Kalendriaasta,MONTH(JuuliP1+24)=7),JuuliP1+24,""),IF(AND(YEAR(JuuliP1+31)=Kalendriaasta,MONTH(JuuliP1+31)=7),JuuliP1+31,""))</f>
        <v>44041</v>
      </c>
      <c r="F36" s="25">
        <f>IF(DAY(JuuliP1)=1,IF(AND(YEAR(JuuliP1+25)=Kalendriaasta,MONTH(JuuliP1+25)=7),JuuliP1+25,""),IF(AND(YEAR(JuuliP1+32)=Kalendriaasta,MONTH(JuuliP1+32)=7),JuuliP1+32,""))</f>
        <v>44042</v>
      </c>
      <c r="G36" s="25">
        <f>IF(DAY(JuuliP1)=1,IF(AND(YEAR(JuuliP1+26)=Kalendriaasta,MONTH(JuuliP1+26)=7),JuuliP1+26,""),IF(AND(YEAR(JuuliP1+33)=Kalendriaasta,MONTH(JuuliP1+33)=7),JuuliP1+33,""))</f>
        <v>44043</v>
      </c>
      <c r="H36" s="25" t="str">
        <f>IF(DAY(JuuliP1)=1,IF(AND(YEAR(JuuliP1+27)=Kalendriaasta,MONTH(JuuliP1+27)=7),JuuliP1+27,""),IF(AND(YEAR(JuuliP1+34)=Kalendriaasta,MONTH(JuuliP1+34)=7),JuuliP1+34,""))</f>
        <v/>
      </c>
      <c r="I36" s="25" t="str">
        <f>IF(DAY(JuuliP1)=1,IF(AND(YEAR(JuuliP1+28)=Kalendriaasta,MONTH(JuuliP1+28)=7),JuuliP1+28,""),IF(AND(YEAR(JuuliP1+35)=Kalendriaasta,MONTH(JuuliP1+35)=7),JuuliP1+35,""))</f>
        <v/>
      </c>
      <c r="K36" s="25">
        <f>IF(DAY(AugP1)=1,IF(AND(YEAR(AugP1+22)=Kalendriaasta,MONTH(AugP1+22)=8),AugP1+22,""),IF(AND(YEAR(AugP1+29)=Kalendriaasta,MONTH(AugP1+29)=8),AugP1+29,""))</f>
        <v>44067</v>
      </c>
      <c r="L36" s="25">
        <f>IF(DAY(AugP1)=1,IF(AND(YEAR(AugP1+23)=Kalendriaasta,MONTH(AugP1+23)=8),AugP1+23,""),IF(AND(YEAR(AugP1+30)=Kalendriaasta,MONTH(AugP1+30)=8),AugP1+30,""))</f>
        <v>44068</v>
      </c>
      <c r="M36" s="25">
        <f>IF(DAY(AugP1)=1,IF(AND(YEAR(AugP1+24)=Kalendriaasta,MONTH(AugP1+24)=8),AugP1+24,""),IF(AND(YEAR(AugP1+31)=Kalendriaasta,MONTH(AugP1+31)=8),AugP1+31,""))</f>
        <v>44069</v>
      </c>
      <c r="N36" s="25">
        <f>IF(DAY(AugP1)=1,IF(AND(YEAR(AugP1+25)=Kalendriaasta,MONTH(AugP1+25)=8),AugP1+25,""),IF(AND(YEAR(AugP1+32)=Kalendriaasta,MONTH(AugP1+32)=8),AugP1+32,""))</f>
        <v>44070</v>
      </c>
      <c r="O36" s="25">
        <f>IF(DAY(AugP1)=1,IF(AND(YEAR(AugP1+26)=Kalendriaasta,MONTH(AugP1+26)=8),AugP1+26,""),IF(AND(YEAR(AugP1+33)=Kalendriaasta,MONTH(AugP1+33)=8),AugP1+33,""))</f>
        <v>44071</v>
      </c>
      <c r="P36" s="25">
        <f>IF(DAY(AugP1)=1,IF(AND(YEAR(AugP1+27)=Kalendriaasta,MONTH(AugP1+27)=8),AugP1+27,""),IF(AND(YEAR(AugP1+34)=Kalendriaasta,MONTH(AugP1+34)=8),AugP1+34,""))</f>
        <v>44072</v>
      </c>
      <c r="Q36" s="25">
        <f>IF(DAY(AugP1)=1,IF(AND(YEAR(AugP1+28)=Kalendriaasta,MONTH(AugP1+28)=8),AugP1+28,""),IF(AND(YEAR(AugP1+35)=Kalendriaasta,MONTH(AugP1+35)=8),AugP1+35,""))</f>
        <v>44073</v>
      </c>
      <c r="S36" s="24"/>
      <c r="U36" s="10"/>
      <c r="V36" s="30"/>
      <c r="W36" s="30"/>
    </row>
    <row r="37" spans="1:23" ht="15" customHeight="1" x14ac:dyDescent="0.2">
      <c r="C37" s="25" t="str">
        <f>IF(DAY(JuuliP1)=1,IF(AND(YEAR(JuuliP1+29)=Kalendriaasta,MONTH(JuuliP1+29)=7),JuuliP1+29,""),IF(AND(YEAR(JuuliP1+36)=Kalendriaasta,MONTH(JuuliP1+36)=7),JuuliP1+36,""))</f>
        <v/>
      </c>
      <c r="D37" s="25" t="str">
        <f>IF(DAY(JuuliP1)=1,IF(AND(YEAR(JuuliP1+30)=Kalendriaasta,MONTH(JuuliP1+30)=7),JuuliP1+30,""),IF(AND(YEAR(JuuliP1+37)=Kalendriaasta,MONTH(JuuliP1+37)=7),JuuliP1+37,""))</f>
        <v/>
      </c>
      <c r="E37" s="25" t="str">
        <f>IF(DAY(JuuliP1)=1,IF(AND(YEAR(JuuliP1+31)=Kalendriaasta,MONTH(JuuliP1+31)=7),JuuliP1+31,""),IF(AND(YEAR(JuuliP1+38)=Kalendriaasta,MONTH(JuuliP1+38)=7),JuuliP1+38,""))</f>
        <v/>
      </c>
      <c r="F37" s="25" t="str">
        <f>IF(DAY(JuuliP1)=1,IF(AND(YEAR(JuuliP1+32)=Kalendriaasta,MONTH(JuuliP1+32)=7),JuuliP1+32,""),IF(AND(YEAR(JuuliP1+39)=Kalendriaasta,MONTH(JuuliP1+39)=7),JuuliP1+39,""))</f>
        <v/>
      </c>
      <c r="G37" s="25" t="str">
        <f>IF(DAY(JuuliP1)=1,IF(AND(YEAR(JuuliP1+33)=Kalendriaasta,MONTH(JuuliP1+33)=7),JuuliP1+33,""),IF(AND(YEAR(JuuliP1+40)=Kalendriaasta,MONTH(JuuliP1+40)=7),JuuliP1+40,""))</f>
        <v/>
      </c>
      <c r="H37" s="25" t="str">
        <f>IF(DAY(JuuliP1)=1,IF(AND(YEAR(JuuliP1+34)=Kalendriaasta,MONTH(JuuliP1+34)=7),JuuliP1+34,""),IF(AND(YEAR(JuuliP1+41)=Kalendriaasta,MONTH(JuuliP1+41)=7),JuuliP1+41,""))</f>
        <v/>
      </c>
      <c r="I37" s="25" t="str">
        <f>IF(DAY(JuuliP1)=1,IF(AND(YEAR(JuuliP1+35)=Kalendriaasta,MONTH(JuuliP1+35)=7),JuuliP1+35,""),IF(AND(YEAR(JuuliP1+42)=Kalendriaasta,MONTH(JuuliP1+42)=7),JuuliP1+42,""))</f>
        <v/>
      </c>
      <c r="K37" s="25">
        <f>IF(DAY(AugP1)=1,IF(AND(YEAR(AugP1+29)=Kalendriaasta,MONTH(AugP1+29)=8),AugP1+29,""),IF(AND(YEAR(AugP1+36)=Kalendriaasta,MONTH(AugP1+36)=8),AugP1+36,""))</f>
        <v>44074</v>
      </c>
      <c r="L37" s="25" t="str">
        <f>IF(DAY(AugP1)=1,IF(AND(YEAR(AugP1+30)=Kalendriaasta,MONTH(AugP1+30)=8),AugP1+30,""),IF(AND(YEAR(AugP1+37)=Kalendriaasta,MONTH(AugP1+37)=8),AugP1+37,""))</f>
        <v/>
      </c>
      <c r="M37" s="25" t="str">
        <f>IF(DAY(AugP1)=1,IF(AND(YEAR(AugP1+31)=Kalendriaasta,MONTH(AugP1+31)=8),AugP1+31,""),IF(AND(YEAR(AugP1+38)=Kalendriaasta,MONTH(AugP1+38)=8),AugP1+38,""))</f>
        <v/>
      </c>
      <c r="N37" s="25" t="str">
        <f>IF(DAY(AugP1)=1,IF(AND(YEAR(AugP1+32)=Kalendriaasta,MONTH(AugP1+32)=8),AugP1+32,""),IF(AND(YEAR(AugP1+39)=Kalendriaasta,MONTH(AugP1+39)=8),AugP1+39,""))</f>
        <v/>
      </c>
      <c r="O37" s="25" t="str">
        <f>IF(DAY(AugP1)=1,IF(AND(YEAR(AugP1+33)=Kalendriaasta,MONTH(AugP1+33)=8),AugP1+33,""),IF(AND(YEAR(AugP1+40)=Kalendriaasta,MONTH(AugP1+40)=8),AugP1+40,""))</f>
        <v/>
      </c>
      <c r="P37" s="25" t="str">
        <f>IF(DAY(AugP1)=1,IF(AND(YEAR(AugP1+34)=Kalendriaasta,MONTH(AugP1+34)=8),AugP1+34,""),IF(AND(YEAR(AugP1+41)=Kalendriaasta,MONTH(AugP1+41)=8),AugP1+41,""))</f>
        <v/>
      </c>
      <c r="Q37" s="25" t="str">
        <f>IF(DAY(AugP1)=1,IF(AND(YEAR(AugP1+35)=Kalendriaasta,MONTH(AugP1+35)=8),AugP1+35,""),IF(AND(YEAR(AugP1+42)=Kalendriaasta,MONTH(AugP1+42)=8),AugP1+42,""))</f>
        <v/>
      </c>
      <c r="S37" s="24"/>
      <c r="U37" s="3"/>
      <c r="V37" s="30"/>
      <c r="W37" s="30"/>
    </row>
    <row r="38" spans="1:23" ht="15" customHeight="1" x14ac:dyDescent="0.2">
      <c r="C38" s="22"/>
      <c r="D38" s="22"/>
      <c r="E38" s="22"/>
      <c r="F38" s="22"/>
      <c r="G38" s="22"/>
      <c r="H38" s="22"/>
      <c r="I38" s="22"/>
      <c r="K38" s="22"/>
      <c r="L38" s="22"/>
      <c r="M38" s="22"/>
      <c r="N38" s="22"/>
      <c r="O38" s="22"/>
      <c r="P38" s="22"/>
      <c r="Q38" s="22"/>
      <c r="S38" s="24"/>
      <c r="U38" s="2"/>
      <c r="V38" s="30"/>
      <c r="W38" s="30"/>
    </row>
    <row r="39" spans="1:23" ht="15" customHeight="1" x14ac:dyDescent="0.2">
      <c r="A39" s="18" t="s">
        <v>17</v>
      </c>
      <c r="C39" s="28" t="s">
        <v>31</v>
      </c>
      <c r="D39" s="28"/>
      <c r="E39" s="28"/>
      <c r="F39" s="28"/>
      <c r="G39" s="28"/>
      <c r="H39" s="28"/>
      <c r="I39" s="28"/>
      <c r="K39" s="28" t="s">
        <v>43</v>
      </c>
      <c r="L39" s="28"/>
      <c r="M39" s="28"/>
      <c r="N39" s="28"/>
      <c r="O39" s="28"/>
      <c r="P39" s="28"/>
      <c r="Q39" s="28"/>
      <c r="S39" s="24"/>
      <c r="U39" s="10"/>
      <c r="V39" s="30"/>
      <c r="W39" s="30"/>
    </row>
    <row r="40" spans="1:23" ht="15" customHeight="1" x14ac:dyDescent="0.2">
      <c r="A40" s="18" t="s">
        <v>18</v>
      </c>
      <c r="C40" s="11" t="s">
        <v>27</v>
      </c>
      <c r="D40" s="11" t="s">
        <v>33</v>
      </c>
      <c r="E40" s="11" t="s">
        <v>34</v>
      </c>
      <c r="F40" s="11" t="s">
        <v>35</v>
      </c>
      <c r="G40" s="11" t="s">
        <v>36</v>
      </c>
      <c r="H40" s="11" t="s">
        <v>37</v>
      </c>
      <c r="I40" s="11" t="s">
        <v>38</v>
      </c>
      <c r="K40" s="11" t="s">
        <v>27</v>
      </c>
      <c r="L40" s="11" t="s">
        <v>33</v>
      </c>
      <c r="M40" s="11" t="s">
        <v>34</v>
      </c>
      <c r="N40" s="11" t="s">
        <v>35</v>
      </c>
      <c r="O40" s="11" t="s">
        <v>36</v>
      </c>
      <c r="P40" s="11" t="s">
        <v>37</v>
      </c>
      <c r="Q40" s="11" t="s">
        <v>38</v>
      </c>
      <c r="S40" s="24"/>
      <c r="U40" s="3"/>
      <c r="V40" s="30"/>
      <c r="W40" s="30"/>
    </row>
    <row r="41" spans="1:23" ht="15" customHeight="1" x14ac:dyDescent="0.2">
      <c r="C41" s="25" t="str">
        <f>IF(DAY(SeptP1)=1,"",IF(AND(YEAR(SeptP1+1)=Kalendriaasta,MONTH(SeptP1+1)=9),SeptP1+1,""))</f>
        <v/>
      </c>
      <c r="D41" s="25">
        <f>IF(DAY(SeptP1)=1,"",IF(AND(YEAR(SeptP1+2)=Kalendriaasta,MONTH(SeptP1+2)=9),SeptP1+2,""))</f>
        <v>44075</v>
      </c>
      <c r="E41" s="25">
        <f>IF(DAY(SeptP1)=1,"",IF(AND(YEAR(SeptP1+3)=Kalendriaasta,MONTH(SeptP1+3)=9),SeptP1+3,""))</f>
        <v>44076</v>
      </c>
      <c r="F41" s="25">
        <f>IF(DAY(SeptP1)=1,"",IF(AND(YEAR(SeptP1+4)=Kalendriaasta,MONTH(SeptP1+4)=9),SeptP1+4,""))</f>
        <v>44077</v>
      </c>
      <c r="G41" s="25">
        <f>IF(DAY(SeptP1)=1,"",IF(AND(YEAR(SeptP1+5)=Kalendriaasta,MONTH(SeptP1+5)=9),SeptP1+5,""))</f>
        <v>44078</v>
      </c>
      <c r="H41" s="25">
        <f>IF(DAY(SeptP1)=1,"",IF(AND(YEAR(SeptP1+6)=Kalendriaasta,MONTH(SeptP1+6)=9),SeptP1+6,""))</f>
        <v>44079</v>
      </c>
      <c r="I41" s="25">
        <f>IF(DAY(SeptP1)=1,IF(AND(YEAR(SeptP1)=Kalendriaasta,MONTH(SeptP1)=9),SeptP1,""),IF(AND(YEAR(SeptP1+7)=Kalendriaasta,MONTH(SeptP1+7)=9),SeptP1+7,""))</f>
        <v>44080</v>
      </c>
      <c r="K41" s="25" t="str">
        <f>IF(DAY(OktP1)=1,"",IF(AND(YEAR(OktP1+1)=Kalendriaasta,MONTH(OktP1+1)=10),OktP1+1,""))</f>
        <v/>
      </c>
      <c r="L41" s="25" t="str">
        <f>IF(DAY(OktP1)=1,"",IF(AND(YEAR(OktP1+2)=Kalendriaasta,MONTH(OktP1+2)=10),OktP1+2,""))</f>
        <v/>
      </c>
      <c r="M41" s="25" t="str">
        <f>IF(DAY(OktP1)=1,"",IF(AND(YEAR(OktP1+3)=Kalendriaasta,MONTH(OktP1+3)=10),OktP1+3,""))</f>
        <v/>
      </c>
      <c r="N41" s="25">
        <f>IF(DAY(OktP1)=1,"",IF(AND(YEAR(OktP1+4)=Kalendriaasta,MONTH(OktP1+4)=10),OktP1+4,""))</f>
        <v>44105</v>
      </c>
      <c r="O41" s="25">
        <f>IF(DAY(OktP1)=1,"",IF(AND(YEAR(OktP1+5)=Kalendriaasta,MONTH(OktP1+5)=10),OktP1+5,""))</f>
        <v>44106</v>
      </c>
      <c r="P41" s="25">
        <f>IF(DAY(OktP1)=1,"",IF(AND(YEAR(OktP1+6)=Kalendriaasta,MONTH(OktP1+6)=10),OktP1+6,""))</f>
        <v>44107</v>
      </c>
      <c r="Q41" s="25">
        <f>IF(DAY(OktP1)=1,IF(AND(YEAR(OktP1)=Kalendriaasta,MONTH(OktP1)=10),OktP1,""),IF(AND(YEAR(OktP1+7)=Kalendriaasta,MONTH(OktP1+7)=10),OktP1+7,""))</f>
        <v>44108</v>
      </c>
      <c r="S41" s="24"/>
      <c r="U41" s="2"/>
      <c r="V41" s="30"/>
      <c r="W41" s="30"/>
    </row>
    <row r="42" spans="1:23" ht="15" customHeight="1" x14ac:dyDescent="0.2">
      <c r="C42" s="25">
        <f>IF(DAY(SeptP1)=1,IF(AND(YEAR(SeptP1+1)=Kalendriaasta,MONTH(SeptP1+1)=9),SeptP1+1,""),IF(AND(YEAR(SeptP1+8)=Kalendriaasta,MONTH(SeptP1+8)=9),SeptP1+8,""))</f>
        <v>44081</v>
      </c>
      <c r="D42" s="25">
        <f>IF(DAY(SeptP1)=1,IF(AND(YEAR(SeptP1+2)=Kalendriaasta,MONTH(SeptP1+2)=9),SeptP1+2,""),IF(AND(YEAR(SeptP1+9)=Kalendriaasta,MONTH(SeptP1+9)=9),SeptP1+9,""))</f>
        <v>44082</v>
      </c>
      <c r="E42" s="25">
        <f>IF(DAY(SeptP1)=1,IF(AND(YEAR(SeptP1+3)=Kalendriaasta,MONTH(SeptP1+3)=9),SeptP1+3,""),IF(AND(YEAR(SeptP1+10)=Kalendriaasta,MONTH(SeptP1+10)=9),SeptP1+10,""))</f>
        <v>44083</v>
      </c>
      <c r="F42" s="25">
        <f>IF(DAY(SeptP1)=1,IF(AND(YEAR(SeptP1+4)=Kalendriaasta,MONTH(SeptP1+4)=9),SeptP1+4,""),IF(AND(YEAR(SeptP1+11)=Kalendriaasta,MONTH(SeptP1+11)=9),SeptP1+11,""))</f>
        <v>44084</v>
      </c>
      <c r="G42" s="25">
        <f>IF(DAY(SeptP1)=1,IF(AND(YEAR(SeptP1+5)=Kalendriaasta,MONTH(SeptP1+5)=9),SeptP1+5,""),IF(AND(YEAR(SeptP1+12)=Kalendriaasta,MONTH(SeptP1+12)=9),SeptP1+12,""))</f>
        <v>44085</v>
      </c>
      <c r="H42" s="25">
        <f>IF(DAY(SeptP1)=1,IF(AND(YEAR(SeptP1+6)=Kalendriaasta,MONTH(SeptP1+6)=9),SeptP1+6,""),IF(AND(YEAR(SeptP1+13)=Kalendriaasta,MONTH(SeptP1+13)=9),SeptP1+13,""))</f>
        <v>44086</v>
      </c>
      <c r="I42" s="25">
        <f>IF(DAY(SeptP1)=1,IF(AND(YEAR(SeptP1+7)=Kalendriaasta,MONTH(SeptP1+7)=9),SeptP1+7,""),IF(AND(YEAR(SeptP1+14)=Kalendriaasta,MONTH(SeptP1+14)=9),SeptP1+14,""))</f>
        <v>44087</v>
      </c>
      <c r="K42" s="25">
        <f>IF(DAY(OktP1)=1,IF(AND(YEAR(OktP1+1)=Kalendriaasta,MONTH(OktP1+1)=10),OktP1+1,""),IF(AND(YEAR(OktP1+8)=Kalendriaasta,MONTH(OktP1+8)=10),OktP1+8,""))</f>
        <v>44109</v>
      </c>
      <c r="L42" s="25">
        <f>IF(DAY(OktP1)=1,IF(AND(YEAR(OktP1+2)=Kalendriaasta,MONTH(OktP1+2)=10),OktP1+2,""),IF(AND(YEAR(OktP1+9)=Kalendriaasta,MONTH(OktP1+9)=10),OktP1+9,""))</f>
        <v>44110</v>
      </c>
      <c r="M42" s="25">
        <f>IF(DAY(OktP1)=1,IF(AND(YEAR(OktP1+3)=Kalendriaasta,MONTH(OktP1+3)=10),OktP1+3,""),IF(AND(YEAR(OktP1+10)=Kalendriaasta,MONTH(OktP1+10)=10),OktP1+10,""))</f>
        <v>44111</v>
      </c>
      <c r="N42" s="25">
        <f>IF(DAY(OktP1)=1,IF(AND(YEAR(OktP1+4)=Kalendriaasta,MONTH(OktP1+4)=10),OktP1+4,""),IF(AND(YEAR(OktP1+11)=Kalendriaasta,MONTH(OktP1+11)=10),OktP1+11,""))</f>
        <v>44112</v>
      </c>
      <c r="O42" s="25">
        <f>IF(DAY(OktP1)=1,IF(AND(YEAR(OktP1+5)=Kalendriaasta,MONTH(OktP1+5)=10),OktP1+5,""),IF(AND(YEAR(OktP1+12)=Kalendriaasta,MONTH(OktP1+12)=10),OktP1+12,""))</f>
        <v>44113</v>
      </c>
      <c r="P42" s="25">
        <f>IF(DAY(OktP1)=1,IF(AND(YEAR(OktP1+6)=Kalendriaasta,MONTH(OktP1+6)=10),OktP1+6,""),IF(AND(YEAR(OktP1+13)=Kalendriaasta,MONTH(OktP1+13)=10),OktP1+13,""))</f>
        <v>44114</v>
      </c>
      <c r="Q42" s="25">
        <f>IF(DAY(OktP1)=1,IF(AND(YEAR(OktP1+7)=Kalendriaasta,MONTH(OktP1+7)=10),OktP1+7,""),IF(AND(YEAR(OktP1+14)=Kalendriaasta,MONTH(OktP1+14)=10),OktP1+14,""))</f>
        <v>44115</v>
      </c>
      <c r="S42" s="24"/>
      <c r="U42" s="10"/>
      <c r="V42" s="30"/>
      <c r="W42" s="30"/>
    </row>
    <row r="43" spans="1:23" ht="15" customHeight="1" x14ac:dyDescent="0.2">
      <c r="C43" s="25">
        <f>IF(DAY(SeptP1)=1,IF(AND(YEAR(SeptP1+8)=Kalendriaasta,MONTH(SeptP1+8)=9),SeptP1+8,""),IF(AND(YEAR(SeptP1+15)=Kalendriaasta,MONTH(SeptP1+15)=9),SeptP1+15,""))</f>
        <v>44088</v>
      </c>
      <c r="D43" s="25">
        <f>IF(DAY(SeptP1)=1,IF(AND(YEAR(SeptP1+9)=Kalendriaasta,MONTH(SeptP1+9)=9),SeptP1+9,""),IF(AND(YEAR(SeptP1+16)=Kalendriaasta,MONTH(SeptP1+16)=9),SeptP1+16,""))</f>
        <v>44089</v>
      </c>
      <c r="E43" s="25">
        <f>IF(DAY(SeptP1)=1,IF(AND(YEAR(SeptP1+10)=Kalendriaasta,MONTH(SeptP1+10)=9),SeptP1+10,""),IF(AND(YEAR(SeptP1+17)=Kalendriaasta,MONTH(SeptP1+17)=9),SeptP1+17,""))</f>
        <v>44090</v>
      </c>
      <c r="F43" s="25">
        <f>IF(DAY(SeptP1)=1,IF(AND(YEAR(SeptP1+11)=Kalendriaasta,MONTH(SeptP1+11)=9),SeptP1+11,""),IF(AND(YEAR(SeptP1+18)=Kalendriaasta,MONTH(SeptP1+18)=9),SeptP1+18,""))</f>
        <v>44091</v>
      </c>
      <c r="G43" s="25">
        <f>IF(DAY(SeptP1)=1,IF(AND(YEAR(SeptP1+12)=Kalendriaasta,MONTH(SeptP1+12)=9),SeptP1+12,""),IF(AND(YEAR(SeptP1+19)=Kalendriaasta,MONTH(SeptP1+19)=9),SeptP1+19,""))</f>
        <v>44092</v>
      </c>
      <c r="H43" s="25">
        <f>IF(DAY(SeptP1)=1,IF(AND(YEAR(SeptP1+13)=Kalendriaasta,MONTH(SeptP1+13)=9),SeptP1+13,""),IF(AND(YEAR(SeptP1+20)=Kalendriaasta,MONTH(SeptP1+20)=9),SeptP1+20,""))</f>
        <v>44093</v>
      </c>
      <c r="I43" s="25">
        <f>IF(DAY(SeptP1)=1,IF(AND(YEAR(SeptP1+14)=Kalendriaasta,MONTH(SeptP1+14)=9),SeptP1+14,""),IF(AND(YEAR(SeptP1+21)=Kalendriaasta,MONTH(SeptP1+21)=9),SeptP1+21,""))</f>
        <v>44094</v>
      </c>
      <c r="K43" s="25">
        <f>IF(DAY(OktP1)=1,IF(AND(YEAR(OktP1+8)=Kalendriaasta,MONTH(OktP1+8)=10),OktP1+8,""),IF(AND(YEAR(OktP1+15)=Kalendriaasta,MONTH(OktP1+15)=10),OktP1+15,""))</f>
        <v>44116</v>
      </c>
      <c r="L43" s="25">
        <f>IF(DAY(OktP1)=1,IF(AND(YEAR(OktP1+9)=Kalendriaasta,MONTH(OktP1+9)=10),OktP1+9,""),IF(AND(YEAR(OktP1+16)=Kalendriaasta,MONTH(OktP1+16)=10),OktP1+16,""))</f>
        <v>44117</v>
      </c>
      <c r="M43" s="25">
        <f>IF(DAY(OktP1)=1,IF(AND(YEAR(OktP1+10)=Kalendriaasta,MONTH(OktP1+10)=10),OktP1+10,""),IF(AND(YEAR(OktP1+17)=Kalendriaasta,MONTH(OktP1+17)=10),OktP1+17,""))</f>
        <v>44118</v>
      </c>
      <c r="N43" s="25">
        <f>IF(DAY(OktP1)=1,IF(AND(YEAR(OktP1+11)=Kalendriaasta,MONTH(OktP1+11)=10),OktP1+11,""),IF(AND(YEAR(OktP1+18)=Kalendriaasta,MONTH(OktP1+18)=10),OktP1+18,""))</f>
        <v>44119</v>
      </c>
      <c r="O43" s="25">
        <f>IF(DAY(OktP1)=1,IF(AND(YEAR(OktP1+12)=Kalendriaasta,MONTH(OktP1+12)=10),OktP1+12,""),IF(AND(YEAR(OktP1+19)=Kalendriaasta,MONTH(OktP1+19)=10),OktP1+19,""))</f>
        <v>44120</v>
      </c>
      <c r="P43" s="25">
        <f>IF(DAY(OktP1)=1,IF(AND(YEAR(OktP1+13)=Kalendriaasta,MONTH(OktP1+13)=10),OktP1+13,""),IF(AND(YEAR(OktP1+20)=Kalendriaasta,MONTH(OktP1+20)=10),OktP1+20,""))</f>
        <v>44121</v>
      </c>
      <c r="Q43" s="25">
        <f>IF(DAY(OktP1)=1,IF(AND(YEAR(OktP1+14)=Kalendriaasta,MONTH(OktP1+14)=10),OktP1+14,""),IF(AND(YEAR(OktP1+21)=Kalendriaasta,MONTH(OktP1+21)=10),OktP1+21,""))</f>
        <v>44122</v>
      </c>
      <c r="S43" s="24"/>
      <c r="U43" s="3"/>
      <c r="V43" s="30"/>
      <c r="W43" s="30"/>
    </row>
    <row r="44" spans="1:23" ht="15" customHeight="1" x14ac:dyDescent="0.2">
      <c r="A44" s="18" t="s">
        <v>19</v>
      </c>
      <c r="C44" s="25">
        <f>IF(DAY(SeptP1)=1,IF(AND(YEAR(SeptP1+15)=Kalendriaasta,MONTH(SeptP1+15)=9),SeptP1+15,""),IF(AND(YEAR(SeptP1+22)=Kalendriaasta,MONTH(SeptP1+22)=9),SeptP1+22,""))</f>
        <v>44095</v>
      </c>
      <c r="D44" s="25">
        <f>IF(DAY(SeptP1)=1,IF(AND(YEAR(SeptP1+16)=Kalendriaasta,MONTH(SeptP1+16)=9),SeptP1+16,""),IF(AND(YEAR(SeptP1+23)=Kalendriaasta,MONTH(SeptP1+23)=9),SeptP1+23,""))</f>
        <v>44096</v>
      </c>
      <c r="E44" s="25">
        <f>IF(DAY(SeptP1)=1,IF(AND(YEAR(SeptP1+17)=Kalendriaasta,MONTH(SeptP1+17)=9),SeptP1+17,""),IF(AND(YEAR(SeptP1+24)=Kalendriaasta,MONTH(SeptP1+24)=9),SeptP1+24,""))</f>
        <v>44097</v>
      </c>
      <c r="F44" s="25">
        <f>IF(DAY(SeptP1)=1,IF(AND(YEAR(SeptP1+18)=Kalendriaasta,MONTH(SeptP1+18)=9),SeptP1+18,""),IF(AND(YEAR(SeptP1+25)=Kalendriaasta,MONTH(SeptP1+25)=9),SeptP1+25,""))</f>
        <v>44098</v>
      </c>
      <c r="G44" s="25">
        <f>IF(DAY(SeptP1)=1,IF(AND(YEAR(SeptP1+19)=Kalendriaasta,MONTH(SeptP1+19)=9),SeptP1+19,""),IF(AND(YEAR(SeptP1+26)=Kalendriaasta,MONTH(SeptP1+26)=9),SeptP1+26,""))</f>
        <v>44099</v>
      </c>
      <c r="H44" s="25">
        <f>IF(DAY(SeptP1)=1,IF(AND(YEAR(SeptP1+20)=Kalendriaasta,MONTH(SeptP1+20)=9),SeptP1+20,""),IF(AND(YEAR(SeptP1+27)=Kalendriaasta,MONTH(SeptP1+27)=9),SeptP1+27,""))</f>
        <v>44100</v>
      </c>
      <c r="I44" s="25">
        <f>IF(DAY(SeptP1)=1,IF(AND(YEAR(SeptP1+21)=Kalendriaasta,MONTH(SeptP1+21)=9),SeptP1+21,""),IF(AND(YEAR(SeptP1+28)=Kalendriaasta,MONTH(SeptP1+28)=9),SeptP1+28,""))</f>
        <v>44101</v>
      </c>
      <c r="K44" s="25">
        <f>IF(DAY(OktP1)=1,IF(AND(YEAR(OktP1+15)=Kalendriaasta,MONTH(OktP1+15)=10),OktP1+15,""),IF(AND(YEAR(OktP1+22)=Kalendriaasta,MONTH(OktP1+22)=10),OktP1+22,""))</f>
        <v>44123</v>
      </c>
      <c r="L44" s="25">
        <f>IF(DAY(OktP1)=1,IF(AND(YEAR(OktP1+16)=Kalendriaasta,MONTH(OktP1+16)=10),OktP1+16,""),IF(AND(YEAR(OktP1+23)=Kalendriaasta,MONTH(OktP1+23)=10),OktP1+23,""))</f>
        <v>44124</v>
      </c>
      <c r="M44" s="25">
        <f>IF(DAY(OktP1)=1,IF(AND(YEAR(OktP1+17)=Kalendriaasta,MONTH(OktP1+17)=10),OktP1+17,""),IF(AND(YEAR(OktP1+24)=Kalendriaasta,MONTH(OktP1+24)=10),OktP1+24,""))</f>
        <v>44125</v>
      </c>
      <c r="N44" s="25">
        <f>IF(DAY(OktP1)=1,IF(AND(YEAR(OktP1+18)=Kalendriaasta,MONTH(OktP1+18)=10),OktP1+18,""),IF(AND(YEAR(OktP1+25)=Kalendriaasta,MONTH(OktP1+25)=10),OktP1+25,""))</f>
        <v>44126</v>
      </c>
      <c r="O44" s="25">
        <f>IF(DAY(OktP1)=1,IF(AND(YEAR(OktP1+19)=Kalendriaasta,MONTH(OktP1+19)=10),OktP1+19,""),IF(AND(YEAR(OktP1+26)=Kalendriaasta,MONTH(OktP1+26)=10),OktP1+26,""))</f>
        <v>44127</v>
      </c>
      <c r="P44" s="25">
        <f>IF(DAY(OktP1)=1,IF(AND(YEAR(OktP1+20)=Kalendriaasta,MONTH(OktP1+20)=10),OktP1+20,""),IF(AND(YEAR(OktP1+27)=Kalendriaasta,MONTH(OktP1+27)=10),OktP1+27,""))</f>
        <v>44128</v>
      </c>
      <c r="Q44" s="25">
        <f>IF(DAY(OktP1)=1,IF(AND(YEAR(OktP1+21)=Kalendriaasta,MONTH(OktP1+21)=10),OktP1+21,""),IF(AND(YEAR(OktP1+28)=Kalendriaasta,MONTH(OktP1+28)=10),OktP1+28,""))</f>
        <v>44129</v>
      </c>
      <c r="S44" s="24"/>
      <c r="U44" s="8" t="s">
        <v>52</v>
      </c>
      <c r="V44" s="30"/>
      <c r="W44" s="30"/>
    </row>
    <row r="45" spans="1:23" ht="15" customHeight="1" x14ac:dyDescent="0.2">
      <c r="A45" s="18" t="s">
        <v>20</v>
      </c>
      <c r="C45" s="25">
        <f>IF(DAY(SeptP1)=1,IF(AND(YEAR(SeptP1+22)=Kalendriaasta,MONTH(SeptP1+22)=9),SeptP1+22,""),IF(AND(YEAR(SeptP1+29)=Kalendriaasta,MONTH(SeptP1+29)=9),SeptP1+29,""))</f>
        <v>44102</v>
      </c>
      <c r="D45" s="25">
        <f>IF(DAY(SeptP1)=1,IF(AND(YEAR(SeptP1+23)=Kalendriaasta,MONTH(SeptP1+23)=9),SeptP1+23,""),IF(AND(YEAR(SeptP1+30)=Kalendriaasta,MONTH(SeptP1+30)=9),SeptP1+30,""))</f>
        <v>44103</v>
      </c>
      <c r="E45" s="25">
        <f>IF(DAY(SeptP1)=1,IF(AND(YEAR(SeptP1+24)=Kalendriaasta,MONTH(SeptP1+24)=9),SeptP1+24,""),IF(AND(YEAR(SeptP1+31)=Kalendriaasta,MONTH(SeptP1+31)=9),SeptP1+31,""))</f>
        <v>44104</v>
      </c>
      <c r="F45" s="25" t="str">
        <f>IF(DAY(SeptP1)=1,IF(AND(YEAR(SeptP1+25)=Kalendriaasta,MONTH(SeptP1+25)=9),SeptP1+25,""),IF(AND(YEAR(SeptP1+32)=Kalendriaasta,MONTH(SeptP1+32)=9),SeptP1+32,""))</f>
        <v/>
      </c>
      <c r="G45" s="25" t="str">
        <f>IF(DAY(SeptP1)=1,IF(AND(YEAR(SeptP1+26)=Kalendriaasta,MONTH(SeptP1+26)=9),SeptP1+26,""),IF(AND(YEAR(SeptP1+33)=Kalendriaasta,MONTH(SeptP1+33)=9),SeptP1+33,""))</f>
        <v/>
      </c>
      <c r="H45" s="25" t="str">
        <f>IF(DAY(SeptP1)=1,IF(AND(YEAR(SeptP1+27)=Kalendriaasta,MONTH(SeptP1+27)=9),SeptP1+27,""),IF(AND(YEAR(SeptP1+34)=Kalendriaasta,MONTH(SeptP1+34)=9),SeptP1+34,""))</f>
        <v/>
      </c>
      <c r="I45" s="25" t="str">
        <f>IF(DAY(SeptP1)=1,IF(AND(YEAR(SeptP1+28)=Kalendriaasta,MONTH(SeptP1+28)=9),SeptP1+28,""),IF(AND(YEAR(SeptP1+35)=Kalendriaasta,MONTH(SeptP1+35)=9),SeptP1+35,""))</f>
        <v/>
      </c>
      <c r="K45" s="25">
        <f>IF(DAY(OktP1)=1,IF(AND(YEAR(OktP1+22)=Kalendriaasta,MONTH(OktP1+22)=10),OktP1+22,""),IF(AND(YEAR(OktP1+29)=Kalendriaasta,MONTH(OktP1+29)=10),OktP1+29,""))</f>
        <v>44130</v>
      </c>
      <c r="L45" s="25">
        <f>IF(DAY(OktP1)=1,IF(AND(YEAR(OktP1+23)=Kalendriaasta,MONTH(OktP1+23)=10),OktP1+23,""),IF(AND(YEAR(OktP1+30)=Kalendriaasta,MONTH(OktP1+30)=10),OktP1+30,""))</f>
        <v>44131</v>
      </c>
      <c r="M45" s="25">
        <f>IF(DAY(OktP1)=1,IF(AND(YEAR(OktP1+24)=Kalendriaasta,MONTH(OktP1+24)=10),OktP1+24,""),IF(AND(YEAR(OktP1+31)=Kalendriaasta,MONTH(OktP1+31)=10),OktP1+31,""))</f>
        <v>44132</v>
      </c>
      <c r="N45" s="25">
        <f>IF(DAY(OktP1)=1,IF(AND(YEAR(OktP1+25)=Kalendriaasta,MONTH(OktP1+25)=10),OktP1+25,""),IF(AND(YEAR(OktP1+32)=Kalendriaasta,MONTH(OktP1+32)=10),OktP1+32,""))</f>
        <v>44133</v>
      </c>
      <c r="O45" s="25">
        <f>IF(DAY(OktP1)=1,IF(AND(YEAR(OktP1+26)=Kalendriaasta,MONTH(OktP1+26)=10),OktP1+26,""),IF(AND(YEAR(OktP1+33)=Kalendriaasta,MONTH(OktP1+33)=10),OktP1+33,""))</f>
        <v>44134</v>
      </c>
      <c r="P45" s="25">
        <f>IF(DAY(OktP1)=1,IF(AND(YEAR(OktP1+27)=Kalendriaasta,MONTH(OktP1+27)=10),OktP1+27,""),IF(AND(YEAR(OktP1+34)=Kalendriaasta,MONTH(OktP1+34)=10),OktP1+34,""))</f>
        <v>44135</v>
      </c>
      <c r="Q45" s="25" t="str">
        <f>IF(DAY(OktP1)=1,IF(AND(YEAR(OktP1+28)=Kalendriaasta,MONTH(OktP1+28)=10),OktP1+28,""),IF(AND(YEAR(OktP1+35)=Kalendriaasta,MONTH(OktP1+35)=10),OktP1+35,""))</f>
        <v/>
      </c>
      <c r="S45" s="24"/>
      <c r="U45" s="9" t="s">
        <v>53</v>
      </c>
      <c r="V45" s="30"/>
      <c r="W45" s="30"/>
    </row>
    <row r="46" spans="1:23" ht="15" customHeight="1" x14ac:dyDescent="0.2">
      <c r="A46" s="18"/>
      <c r="C46" s="25" t="str">
        <f>IF(DAY(SeptP1)=1,IF(AND(YEAR(SeptP1+29)=Kalendriaasta,MONTH(SeptP1+29)=9),SeptP1+29,""),IF(AND(YEAR(SeptP1+36)=Kalendriaasta,MONTH(SeptP1+36)=9),SeptP1+36,""))</f>
        <v/>
      </c>
      <c r="D46" s="25" t="str">
        <f>IF(DAY(SeptP1)=1,IF(AND(YEAR(SeptP1+30)=Kalendriaasta,MONTH(SeptP1+30)=9),SeptP1+30,""),IF(AND(YEAR(SeptP1+37)=Kalendriaasta,MONTH(SeptP1+37)=9),SeptP1+37,""))</f>
        <v/>
      </c>
      <c r="E46" s="25" t="str">
        <f>IF(DAY(SeptP1)=1,IF(AND(YEAR(SeptP1+31)=Kalendriaasta,MONTH(SeptP1+31)=9),SeptP1+31,""),IF(AND(YEAR(SeptP1+38)=Kalendriaasta,MONTH(SeptP1+38)=9),SeptP1+38,""))</f>
        <v/>
      </c>
      <c r="F46" s="25" t="str">
        <f>IF(DAY(SeptP1)=1,IF(AND(YEAR(SeptP1+32)=Kalendriaasta,MONTH(SeptP1+32)=9),SeptP1+32,""),IF(AND(YEAR(SeptP1+39)=Kalendriaasta,MONTH(SeptP1+39)=9),SeptP1+39,""))</f>
        <v/>
      </c>
      <c r="G46" s="25" t="str">
        <f>IF(DAY(SeptP1)=1,IF(AND(YEAR(SeptP1+33)=Kalendriaasta,MONTH(SeptP1+33)=9),SeptP1+33,""),IF(AND(YEAR(SeptP1+40)=Kalendriaasta,MONTH(SeptP1+40)=9),SeptP1+40,""))</f>
        <v/>
      </c>
      <c r="H46" s="25" t="str">
        <f>IF(DAY(SeptP1)=1,IF(AND(YEAR(SeptP1+34)=Kalendriaasta,MONTH(SeptP1+34)=9),SeptP1+34,""),IF(AND(YEAR(SeptP1+41)=Kalendriaasta,MONTH(SeptP1+41)=9),SeptP1+41,""))</f>
        <v/>
      </c>
      <c r="I46" s="25" t="str">
        <f>IF(DAY(SeptP1)=1,IF(AND(YEAR(SeptP1+35)=Kalendriaasta,MONTH(SeptP1+35)=9),SeptP1+35,""),IF(AND(YEAR(SeptP1+42)=Kalendriaasta,MONTH(SeptP1+42)=9),SeptP1+42,""))</f>
        <v/>
      </c>
      <c r="K46" s="25" t="str">
        <f>IF(DAY(OktP1)=1,IF(AND(YEAR(OktP1+29)=Kalendriaasta,MONTH(OktP1+29)=10),OktP1+29,""),IF(AND(YEAR(OktP1+36)=Kalendriaasta,MONTH(OktP1+36)=10),OktP1+36,""))</f>
        <v/>
      </c>
      <c r="L46" s="25" t="str">
        <f>IF(DAY(OktP1)=1,IF(AND(YEAR(OktP1+30)=Kalendriaasta,MONTH(OktP1+30)=10),OktP1+30,""),IF(AND(YEAR(OktP1+37)=Kalendriaasta,MONTH(OktP1+37)=10),OktP1+37,""))</f>
        <v/>
      </c>
      <c r="M46" s="25" t="str">
        <f>IF(DAY(OktP1)=1,IF(AND(YEAR(OktP1+31)=Kalendriaasta,MONTH(OktP1+31)=10),OktP1+31,""),IF(AND(YEAR(OktP1+38)=Kalendriaasta,MONTH(OktP1+38)=10),OktP1+38,""))</f>
        <v/>
      </c>
      <c r="N46" s="25" t="str">
        <f>IF(DAY(OktP1)=1,IF(AND(YEAR(OktP1+32)=Kalendriaasta,MONTH(OktP1+32)=10),OktP1+32,""),IF(AND(YEAR(OktP1+39)=Kalendriaasta,MONTH(OktP1+39)=10),OktP1+39,""))</f>
        <v/>
      </c>
      <c r="O46" s="25" t="str">
        <f>IF(DAY(OktP1)=1,IF(AND(YEAR(OktP1+33)=Kalendriaasta,MONTH(OktP1+33)=10),OktP1+33,""),IF(AND(YEAR(OktP1+40)=Kalendriaasta,MONTH(OktP1+40)=10),OktP1+40,""))</f>
        <v/>
      </c>
      <c r="P46" s="25" t="str">
        <f>IF(DAY(OktP1)=1,IF(AND(YEAR(OktP1+34)=Kalendriaasta,MONTH(OktP1+34)=10),OktP1+34,""),IF(AND(YEAR(OktP1+41)=Kalendriaasta,MONTH(OktP1+41)=10),OktP1+41,""))</f>
        <v/>
      </c>
      <c r="Q46" s="25" t="str">
        <f>IF(DAY(OktP1)=1,IF(AND(YEAR(OktP1+35)=Kalendriaasta,MONTH(OktP1+35)=10),OktP1+35,""),IF(AND(YEAR(OktP1+42)=Kalendriaasta,MONTH(OktP1+42)=10),OktP1+42,""))</f>
        <v/>
      </c>
      <c r="S46" s="24"/>
      <c r="U46" s="9"/>
      <c r="V46" s="30"/>
      <c r="W46" s="30"/>
    </row>
    <row r="47" spans="1:23" ht="15" customHeight="1" x14ac:dyDescent="0.2">
      <c r="A47" s="18" t="s">
        <v>21</v>
      </c>
      <c r="S47" s="24"/>
      <c r="U47" s="9" t="s">
        <v>54</v>
      </c>
      <c r="V47" s="30"/>
      <c r="W47" s="30"/>
    </row>
    <row r="48" spans="1:23" ht="15" customHeight="1" x14ac:dyDescent="0.2">
      <c r="A48" s="18" t="s">
        <v>22</v>
      </c>
      <c r="C48" s="28" t="s">
        <v>32</v>
      </c>
      <c r="D48" s="28"/>
      <c r="E48" s="28"/>
      <c r="F48" s="28"/>
      <c r="G48" s="28"/>
      <c r="H48" s="28"/>
      <c r="I48" s="28"/>
      <c r="K48" s="28" t="s">
        <v>44</v>
      </c>
      <c r="L48" s="28"/>
      <c r="M48" s="28"/>
      <c r="N48" s="28"/>
      <c r="O48" s="28"/>
      <c r="P48" s="28"/>
      <c r="Q48" s="28"/>
      <c r="S48" s="24"/>
      <c r="U48" s="9" t="s">
        <v>55</v>
      </c>
      <c r="V48" s="30"/>
      <c r="W48" s="30"/>
    </row>
    <row r="49" spans="1:21" ht="15" customHeight="1" x14ac:dyDescent="0.2">
      <c r="A49" s="18" t="s">
        <v>23</v>
      </c>
      <c r="C49" s="11" t="s">
        <v>27</v>
      </c>
      <c r="D49" s="11" t="s">
        <v>33</v>
      </c>
      <c r="E49" s="11" t="s">
        <v>34</v>
      </c>
      <c r="F49" s="11" t="s">
        <v>35</v>
      </c>
      <c r="G49" s="11" t="s">
        <v>36</v>
      </c>
      <c r="H49" s="11" t="s">
        <v>37</v>
      </c>
      <c r="I49" s="11" t="s">
        <v>38</v>
      </c>
      <c r="J49" s="23"/>
      <c r="K49" s="11" t="s">
        <v>27</v>
      </c>
      <c r="L49" s="11" t="s">
        <v>33</v>
      </c>
      <c r="M49" s="11" t="s">
        <v>34</v>
      </c>
      <c r="N49" s="11" t="s">
        <v>35</v>
      </c>
      <c r="O49" s="11" t="s">
        <v>36</v>
      </c>
      <c r="P49" s="11" t="s">
        <v>37</v>
      </c>
      <c r="Q49" s="11" t="s">
        <v>38</v>
      </c>
      <c r="S49" s="24"/>
      <c r="U49" s="9" t="s">
        <v>56</v>
      </c>
    </row>
    <row r="50" spans="1:21" ht="15" customHeight="1" x14ac:dyDescent="0.2">
      <c r="A50" s="18"/>
      <c r="C50" s="25" t="str">
        <f>IF(DAY(NovP1)=1,"",IF(AND(YEAR(NovP1+1)=Kalendriaasta,MONTH(NovP1+1)=11),NovP1+1,""))</f>
        <v/>
      </c>
      <c r="D50" s="25" t="str">
        <f>IF(DAY(NovP1)=1,"",IF(AND(YEAR(NovP1+2)=Kalendriaasta,MONTH(NovP1+2)=11),NovP1+2,""))</f>
        <v/>
      </c>
      <c r="E50" s="25" t="str">
        <f>IF(DAY(NovP1)=1,"",IF(AND(YEAR(NovP1+3)=Kalendriaasta,MONTH(NovP1+3)=11),NovP1+3,""))</f>
        <v/>
      </c>
      <c r="F50" s="25" t="str">
        <f>IF(DAY(NovP1)=1,"",IF(AND(YEAR(NovP1+4)=Kalendriaasta,MONTH(NovP1+4)=11),NovP1+4,""))</f>
        <v/>
      </c>
      <c r="G50" s="25" t="str">
        <f>IF(DAY(NovP1)=1,"",IF(AND(YEAR(NovP1+5)=Kalendriaasta,MONTH(NovP1+5)=11),NovP1+5,""))</f>
        <v/>
      </c>
      <c r="H50" s="25" t="str">
        <f>IF(DAY(NovP1)=1,"",IF(AND(YEAR(NovP1+6)=Kalendriaasta,MONTH(NovP1+6)=11),NovP1+6,""))</f>
        <v/>
      </c>
      <c r="I50" s="25">
        <f>IF(DAY(NovP1)=1,IF(AND(YEAR(NovP1)=Kalendriaasta,MONTH(NovP1)=11),NovP1,""),IF(AND(YEAR(NovP1+7)=Kalendriaasta,MONTH(NovP1+7)=11),NovP1+7,""))</f>
        <v>44136</v>
      </c>
      <c r="K50" s="25" t="str">
        <f>IF(DAY(DetsP1)=1,"",IF(AND(YEAR(DetsP1+1)=Kalendriaasta,MONTH(DetsP1+1)=12),DetsP1+1,""))</f>
        <v/>
      </c>
      <c r="L50" s="25">
        <f>IF(DAY(DetsP1)=1,"",IF(AND(YEAR(DetsP1+2)=Kalendriaasta,MONTH(DetsP1+2)=12),DetsP1+2,""))</f>
        <v>44166</v>
      </c>
      <c r="M50" s="25">
        <f>IF(DAY(DetsP1)=1,"",IF(AND(YEAR(DetsP1+3)=Kalendriaasta,MONTH(DetsP1+3)=12),DetsP1+3,""))</f>
        <v>44167</v>
      </c>
      <c r="N50" s="25">
        <f>IF(DAY(DetsP1)=1,"",IF(AND(YEAR(DetsP1+4)=Kalendriaasta,MONTH(DetsP1+4)=12),DetsP1+4,""))</f>
        <v>44168</v>
      </c>
      <c r="O50" s="25">
        <f>IF(DAY(DetsP1)=1,"",IF(AND(YEAR(DetsP1+5)=Kalendriaasta,MONTH(DetsP1+5)=12),DetsP1+5,""))</f>
        <v>44169</v>
      </c>
      <c r="P50" s="25">
        <f>IF(DAY(DetsP1)=1,"",IF(AND(YEAR(DetsP1+6)=Kalendriaasta,MONTH(DetsP1+6)=12),DetsP1+6,""))</f>
        <v>44170</v>
      </c>
      <c r="Q50" s="25">
        <f>IF(DAY(DetsP1)=1,IF(AND(YEAR(DetsP1)=Kalendriaasta,MONTH(DetsP1)=12),DetsP1,""),IF(AND(YEAR(DetsP1+7)=Kalendriaasta,MONTH(DetsP1+7)=12),DetsP1+7,""))</f>
        <v>44171</v>
      </c>
      <c r="S50" s="24"/>
      <c r="U50" s="1"/>
    </row>
    <row r="51" spans="1:21" ht="15" customHeight="1" x14ac:dyDescent="0.2">
      <c r="A51" s="18" t="s">
        <v>24</v>
      </c>
      <c r="C51" s="25">
        <f>IF(DAY(NovP1)=1,IF(AND(YEAR(NovP1+1)=Kalendriaasta,MONTH(NovP1+1)=11),NovP1+1,""),IF(AND(YEAR(NovP1+8)=Kalendriaasta,MONTH(NovP1+8)=11),NovP1+8,""))</f>
        <v>44137</v>
      </c>
      <c r="D51" s="25">
        <f>IF(DAY(NovP1)=1,IF(AND(YEAR(NovP1+2)=Kalendriaasta,MONTH(NovP1+2)=11),NovP1+2,""),IF(AND(YEAR(NovP1+9)=Kalendriaasta,MONTH(NovP1+9)=11),NovP1+9,""))</f>
        <v>44138</v>
      </c>
      <c r="E51" s="25">
        <f>IF(DAY(NovP1)=1,IF(AND(YEAR(NovP1+3)=Kalendriaasta,MONTH(NovP1+3)=11),NovP1+3,""),IF(AND(YEAR(NovP1+10)=Kalendriaasta,MONTH(NovP1+10)=11),NovP1+10,""))</f>
        <v>44139</v>
      </c>
      <c r="F51" s="25">
        <f>IF(DAY(NovP1)=1,IF(AND(YEAR(NovP1+4)=Kalendriaasta,MONTH(NovP1+4)=11),NovP1+4,""),IF(AND(YEAR(NovP1+11)=Kalendriaasta,MONTH(NovP1+11)=11),NovP1+11,""))</f>
        <v>44140</v>
      </c>
      <c r="G51" s="25">
        <f>IF(DAY(NovP1)=1,IF(AND(YEAR(NovP1+5)=Kalendriaasta,MONTH(NovP1+5)=11),NovP1+5,""),IF(AND(YEAR(NovP1+12)=Kalendriaasta,MONTH(NovP1+12)=11),NovP1+12,""))</f>
        <v>44141</v>
      </c>
      <c r="H51" s="25">
        <f>IF(DAY(NovP1)=1,IF(AND(YEAR(NovP1+6)=Kalendriaasta,MONTH(NovP1+6)=11),NovP1+6,""),IF(AND(YEAR(NovP1+13)=Kalendriaasta,MONTH(NovP1+13)=11),NovP1+13,""))</f>
        <v>44142</v>
      </c>
      <c r="I51" s="25">
        <f>IF(DAY(NovP1)=1,IF(AND(YEAR(NovP1+7)=Kalendriaasta,MONTH(NovP1+7)=11),NovP1+7,""),IF(AND(YEAR(NovP1+14)=Kalendriaasta,MONTH(NovP1+14)=11),NovP1+14,""))</f>
        <v>44143</v>
      </c>
      <c r="K51" s="25">
        <f>IF(DAY(DetsP1)=1,IF(AND(YEAR(DetsP1+1)=Kalendriaasta,MONTH(DetsP1+1)=12),DetsP1+1,""),IF(AND(YEAR(DetsP1+8)=Kalendriaasta,MONTH(DetsP1+8)=12),DetsP1+8,""))</f>
        <v>44172</v>
      </c>
      <c r="L51" s="25">
        <f>IF(DAY(DetsP1)=1,IF(AND(YEAR(DetsP1+2)=Kalendriaasta,MONTH(DetsP1+2)=12),DetsP1+2,""),IF(AND(YEAR(DetsP1+9)=Kalendriaasta,MONTH(DetsP1+9)=12),DetsP1+9,""))</f>
        <v>44173</v>
      </c>
      <c r="M51" s="25">
        <f>IF(DAY(DetsP1)=1,IF(AND(YEAR(DetsP1+3)=Kalendriaasta,MONTH(DetsP1+3)=12),DetsP1+3,""),IF(AND(YEAR(DetsP1+10)=Kalendriaasta,MONTH(DetsP1+10)=12),DetsP1+10,""))</f>
        <v>44174</v>
      </c>
      <c r="N51" s="25">
        <f>IF(DAY(DetsP1)=1,IF(AND(YEAR(DetsP1+4)=Kalendriaasta,MONTH(DetsP1+4)=12),DetsP1+4,""),IF(AND(YEAR(DetsP1+11)=Kalendriaasta,MONTH(DetsP1+11)=12),DetsP1+11,""))</f>
        <v>44175</v>
      </c>
      <c r="O51" s="25">
        <f>IF(DAY(DetsP1)=1,IF(AND(YEAR(DetsP1+5)=Kalendriaasta,MONTH(DetsP1+5)=12),DetsP1+5,""),IF(AND(YEAR(DetsP1+12)=Kalendriaasta,MONTH(DetsP1+12)=12),DetsP1+12,""))</f>
        <v>44176</v>
      </c>
      <c r="P51" s="25">
        <f>IF(DAY(DetsP1)=1,IF(AND(YEAR(DetsP1+6)=Kalendriaasta,MONTH(DetsP1+6)=12),DetsP1+6,""),IF(AND(YEAR(DetsP1+13)=Kalendriaasta,MONTH(DetsP1+13)=12),DetsP1+13,""))</f>
        <v>44177</v>
      </c>
      <c r="Q51" s="25">
        <f>IF(DAY(DetsP1)=1,IF(AND(YEAR(DetsP1+7)=Kalendriaasta,MONTH(DetsP1+7)=12),DetsP1+7,""),IF(AND(YEAR(DetsP1+14)=Kalendriaasta,MONTH(DetsP1+14)=12),DetsP1+14,""))</f>
        <v>44178</v>
      </c>
      <c r="S51" s="24"/>
      <c r="U51" s="29" t="s">
        <v>57</v>
      </c>
    </row>
    <row r="52" spans="1:21" ht="15" customHeight="1" x14ac:dyDescent="0.2">
      <c r="C52" s="25">
        <f>IF(DAY(NovP1)=1,IF(AND(YEAR(NovP1+8)=Kalendriaasta,MONTH(NovP1+8)=11),NovP1+8,""),IF(AND(YEAR(NovP1+15)=Kalendriaasta,MONTH(NovP1+15)=11),NovP1+15,""))</f>
        <v>44144</v>
      </c>
      <c r="D52" s="25">
        <f>IF(DAY(NovP1)=1,IF(AND(YEAR(NovP1+9)=Kalendriaasta,MONTH(NovP1+9)=11),NovP1+9,""),IF(AND(YEAR(NovP1+16)=Kalendriaasta,MONTH(NovP1+16)=11),NovP1+16,""))</f>
        <v>44145</v>
      </c>
      <c r="E52" s="25">
        <f>IF(DAY(NovP1)=1,IF(AND(YEAR(NovP1+10)=Kalendriaasta,MONTH(NovP1+10)=11),NovP1+10,""),IF(AND(YEAR(NovP1+17)=Kalendriaasta,MONTH(NovP1+17)=11),NovP1+17,""))</f>
        <v>44146</v>
      </c>
      <c r="F52" s="25">
        <f>IF(DAY(NovP1)=1,IF(AND(YEAR(NovP1+11)=Kalendriaasta,MONTH(NovP1+11)=11),NovP1+11,""),IF(AND(YEAR(NovP1+18)=Kalendriaasta,MONTH(NovP1+18)=11),NovP1+18,""))</f>
        <v>44147</v>
      </c>
      <c r="G52" s="25">
        <f>IF(DAY(NovP1)=1,IF(AND(YEAR(NovP1+12)=Kalendriaasta,MONTH(NovP1+12)=11),NovP1+12,""),IF(AND(YEAR(NovP1+19)=Kalendriaasta,MONTH(NovP1+19)=11),NovP1+19,""))</f>
        <v>44148</v>
      </c>
      <c r="H52" s="25">
        <f>IF(DAY(NovP1)=1,IF(AND(YEAR(NovP1+13)=Kalendriaasta,MONTH(NovP1+13)=11),NovP1+13,""),IF(AND(YEAR(NovP1+20)=Kalendriaasta,MONTH(NovP1+20)=11),NovP1+20,""))</f>
        <v>44149</v>
      </c>
      <c r="I52" s="25">
        <f>IF(DAY(NovP1)=1,IF(AND(YEAR(NovP1+14)=Kalendriaasta,MONTH(NovP1+14)=11),NovP1+14,""),IF(AND(YEAR(NovP1+21)=Kalendriaasta,MONTH(NovP1+21)=11),NovP1+21,""))</f>
        <v>44150</v>
      </c>
      <c r="K52" s="25">
        <f>IF(DAY(DetsP1)=1,IF(AND(YEAR(DetsP1+8)=Kalendriaasta,MONTH(DetsP1+8)=12),DetsP1+8,""),IF(AND(YEAR(DetsP1+15)=Kalendriaasta,MONTH(DetsP1+15)=12),DetsP1+15,""))</f>
        <v>44179</v>
      </c>
      <c r="L52" s="25">
        <f>IF(DAY(DetsP1)=1,IF(AND(YEAR(DetsP1+9)=Kalendriaasta,MONTH(DetsP1+9)=12),DetsP1+9,""),IF(AND(YEAR(DetsP1+16)=Kalendriaasta,MONTH(DetsP1+16)=12),DetsP1+16,""))</f>
        <v>44180</v>
      </c>
      <c r="M52" s="25">
        <f>IF(DAY(DetsP1)=1,IF(AND(YEAR(DetsP1+10)=Kalendriaasta,MONTH(DetsP1+10)=12),DetsP1+10,""),IF(AND(YEAR(DetsP1+17)=Kalendriaasta,MONTH(DetsP1+17)=12),DetsP1+17,""))</f>
        <v>44181</v>
      </c>
      <c r="N52" s="25">
        <f>IF(DAY(DetsP1)=1,IF(AND(YEAR(DetsP1+11)=Kalendriaasta,MONTH(DetsP1+11)=12),DetsP1+11,""),IF(AND(YEAR(DetsP1+18)=Kalendriaasta,MONTH(DetsP1+18)=12),DetsP1+18,""))</f>
        <v>44182</v>
      </c>
      <c r="O52" s="25">
        <f>IF(DAY(DetsP1)=1,IF(AND(YEAR(DetsP1+12)=Kalendriaasta,MONTH(DetsP1+12)=12),DetsP1+12,""),IF(AND(YEAR(DetsP1+19)=Kalendriaasta,MONTH(DetsP1+19)=12),DetsP1+19,""))</f>
        <v>44183</v>
      </c>
      <c r="P52" s="25">
        <f>IF(DAY(DetsP1)=1,IF(AND(YEAR(DetsP1+13)=Kalendriaasta,MONTH(DetsP1+13)=12),DetsP1+13,""),IF(AND(YEAR(DetsP1+20)=Kalendriaasta,MONTH(DetsP1+20)=12),DetsP1+20,""))</f>
        <v>44184</v>
      </c>
      <c r="Q52" s="25">
        <f>IF(DAY(DetsP1)=1,IF(AND(YEAR(DetsP1+14)=Kalendriaasta,MONTH(DetsP1+14)=12),DetsP1+14,""),IF(AND(YEAR(DetsP1+21)=Kalendriaasta,MONTH(DetsP1+21)=12),DetsP1+21,""))</f>
        <v>44185</v>
      </c>
      <c r="S52" s="24"/>
      <c r="U52" s="29"/>
    </row>
    <row r="53" spans="1:21" ht="15" customHeight="1" x14ac:dyDescent="0.2">
      <c r="C53" s="25">
        <f>IF(DAY(NovP1)=1,IF(AND(YEAR(NovP1+15)=Kalendriaasta,MONTH(NovP1+15)=11),NovP1+15,""),IF(AND(YEAR(NovP1+22)=Kalendriaasta,MONTH(NovP1+22)=11),NovP1+22,""))</f>
        <v>44151</v>
      </c>
      <c r="D53" s="25">
        <f>IF(DAY(NovP1)=1,IF(AND(YEAR(NovP1+16)=Kalendriaasta,MONTH(NovP1+16)=11),NovP1+16,""),IF(AND(YEAR(NovP1+23)=Kalendriaasta,MONTH(NovP1+23)=11),NovP1+23,""))</f>
        <v>44152</v>
      </c>
      <c r="E53" s="25">
        <f>IF(DAY(NovP1)=1,IF(AND(YEAR(NovP1+17)=Kalendriaasta,MONTH(NovP1+17)=11),NovP1+17,""),IF(AND(YEAR(NovP1+24)=Kalendriaasta,MONTH(NovP1+24)=11),NovP1+24,""))</f>
        <v>44153</v>
      </c>
      <c r="F53" s="25">
        <f>IF(DAY(NovP1)=1,IF(AND(YEAR(NovP1+18)=Kalendriaasta,MONTH(NovP1+18)=11),NovP1+18,""),IF(AND(YEAR(NovP1+25)=Kalendriaasta,MONTH(NovP1+25)=11),NovP1+25,""))</f>
        <v>44154</v>
      </c>
      <c r="G53" s="25">
        <f>IF(DAY(NovP1)=1,IF(AND(YEAR(NovP1+19)=Kalendriaasta,MONTH(NovP1+19)=11),NovP1+19,""),IF(AND(YEAR(NovP1+26)=Kalendriaasta,MONTH(NovP1+26)=11),NovP1+26,""))</f>
        <v>44155</v>
      </c>
      <c r="H53" s="25">
        <f>IF(DAY(NovP1)=1,IF(AND(YEAR(NovP1+20)=Kalendriaasta,MONTH(NovP1+20)=11),NovP1+20,""),IF(AND(YEAR(NovP1+27)=Kalendriaasta,MONTH(NovP1+27)=11),NovP1+27,""))</f>
        <v>44156</v>
      </c>
      <c r="I53" s="25">
        <f>IF(DAY(NovP1)=1,IF(AND(YEAR(NovP1+21)=Kalendriaasta,MONTH(NovP1+21)=11),NovP1+21,""),IF(AND(YEAR(NovP1+28)=Kalendriaasta,MONTH(NovP1+28)=11),NovP1+28,""))</f>
        <v>44157</v>
      </c>
      <c r="K53" s="25">
        <f>IF(DAY(DetsP1)=1,IF(AND(YEAR(DetsP1+15)=Kalendriaasta,MONTH(DetsP1+15)=12),DetsP1+15,""),IF(AND(YEAR(DetsP1+22)=Kalendriaasta,MONTH(DetsP1+22)=12),DetsP1+22,""))</f>
        <v>44186</v>
      </c>
      <c r="L53" s="25">
        <f>IF(DAY(DetsP1)=1,IF(AND(YEAR(DetsP1+16)=Kalendriaasta,MONTH(DetsP1+16)=12),DetsP1+16,""),IF(AND(YEAR(DetsP1+23)=Kalendriaasta,MONTH(DetsP1+23)=12),DetsP1+23,""))</f>
        <v>44187</v>
      </c>
      <c r="M53" s="25">
        <f>IF(DAY(DetsP1)=1,IF(AND(YEAR(DetsP1+17)=Kalendriaasta,MONTH(DetsP1+17)=12),DetsP1+17,""),IF(AND(YEAR(DetsP1+24)=Kalendriaasta,MONTH(DetsP1+24)=12),DetsP1+24,""))</f>
        <v>44188</v>
      </c>
      <c r="N53" s="25">
        <f>IF(DAY(DetsP1)=1,IF(AND(YEAR(DetsP1+18)=Kalendriaasta,MONTH(DetsP1+18)=12),DetsP1+18,""),IF(AND(YEAR(DetsP1+25)=Kalendriaasta,MONTH(DetsP1+25)=12),DetsP1+25,""))</f>
        <v>44189</v>
      </c>
      <c r="O53" s="25">
        <f>IF(DAY(DetsP1)=1,IF(AND(YEAR(DetsP1+19)=Kalendriaasta,MONTH(DetsP1+19)=12),DetsP1+19,""),IF(AND(YEAR(DetsP1+26)=Kalendriaasta,MONTH(DetsP1+26)=12),DetsP1+26,""))</f>
        <v>44190</v>
      </c>
      <c r="P53" s="25">
        <f>IF(DAY(DetsP1)=1,IF(AND(YEAR(DetsP1+20)=Kalendriaasta,MONTH(DetsP1+20)=12),DetsP1+20,""),IF(AND(YEAR(DetsP1+27)=Kalendriaasta,MONTH(DetsP1+27)=12),DetsP1+27,""))</f>
        <v>44191</v>
      </c>
      <c r="Q53" s="25">
        <f>IF(DAY(DetsP1)=1,IF(AND(YEAR(DetsP1+21)=Kalendriaasta,MONTH(DetsP1+21)=12),DetsP1+21,""),IF(AND(YEAR(DetsP1+28)=Kalendriaasta,MONTH(DetsP1+28)=12),DetsP1+28,""))</f>
        <v>44192</v>
      </c>
      <c r="S53" s="24"/>
      <c r="U53" s="29"/>
    </row>
    <row r="54" spans="1:21" ht="15" customHeight="1" x14ac:dyDescent="0.2">
      <c r="C54" s="25">
        <f>IF(DAY(NovP1)=1,IF(AND(YEAR(NovP1+22)=Kalendriaasta,MONTH(NovP1+22)=11),NovP1+22,""),IF(AND(YEAR(NovP1+29)=Kalendriaasta,MONTH(NovP1+29)=11),NovP1+29,""))</f>
        <v>44158</v>
      </c>
      <c r="D54" s="25">
        <f>IF(DAY(NovP1)=1,IF(AND(YEAR(NovP1+23)=Kalendriaasta,MONTH(NovP1+23)=11),NovP1+23,""),IF(AND(YEAR(NovP1+30)=Kalendriaasta,MONTH(NovP1+30)=11),NovP1+30,""))</f>
        <v>44159</v>
      </c>
      <c r="E54" s="25">
        <f>IF(DAY(NovP1)=1,IF(AND(YEAR(NovP1+24)=Kalendriaasta,MONTH(NovP1+24)=11),NovP1+24,""),IF(AND(YEAR(NovP1+31)=Kalendriaasta,MONTH(NovP1+31)=11),NovP1+31,""))</f>
        <v>44160</v>
      </c>
      <c r="F54" s="25">
        <f>IF(DAY(NovP1)=1,IF(AND(YEAR(NovP1+25)=Kalendriaasta,MONTH(NovP1+25)=11),NovP1+25,""),IF(AND(YEAR(NovP1+32)=Kalendriaasta,MONTH(NovP1+32)=11),NovP1+32,""))</f>
        <v>44161</v>
      </c>
      <c r="G54" s="25">
        <f>IF(DAY(NovP1)=1,IF(AND(YEAR(NovP1+26)=Kalendriaasta,MONTH(NovP1+26)=11),NovP1+26,""),IF(AND(YEAR(NovP1+33)=Kalendriaasta,MONTH(NovP1+33)=11),NovP1+33,""))</f>
        <v>44162</v>
      </c>
      <c r="H54" s="25">
        <f>IF(DAY(NovP1)=1,IF(AND(YEAR(NovP1+27)=Kalendriaasta,MONTH(NovP1+27)=11),NovP1+27,""),IF(AND(YEAR(NovP1+34)=Kalendriaasta,MONTH(NovP1+34)=11),NovP1+34,""))</f>
        <v>44163</v>
      </c>
      <c r="I54" s="25">
        <f>IF(DAY(NovP1)=1,IF(AND(YEAR(NovP1+28)=Kalendriaasta,MONTH(NovP1+28)=11),NovP1+28,""),IF(AND(YEAR(NovP1+35)=Kalendriaasta,MONTH(NovP1+35)=11),NovP1+35,""))</f>
        <v>44164</v>
      </c>
      <c r="K54" s="25">
        <f>IF(DAY(DetsP1)=1,IF(AND(YEAR(DetsP1+22)=Kalendriaasta,MONTH(DetsP1+22)=12),DetsP1+22,""),IF(AND(YEAR(DetsP1+29)=Kalendriaasta,MONTH(DetsP1+29)=12),DetsP1+29,""))</f>
        <v>44193</v>
      </c>
      <c r="L54" s="25">
        <f>IF(DAY(DetsP1)=1,IF(AND(YEAR(DetsP1+23)=Kalendriaasta,MONTH(DetsP1+23)=12),DetsP1+23,""),IF(AND(YEAR(DetsP1+30)=Kalendriaasta,MONTH(DetsP1+30)=12),DetsP1+30,""))</f>
        <v>44194</v>
      </c>
      <c r="M54" s="25">
        <f>IF(DAY(DetsP1)=1,IF(AND(YEAR(DetsP1+24)=Kalendriaasta,MONTH(DetsP1+24)=12),DetsP1+24,""),IF(AND(YEAR(DetsP1+31)=Kalendriaasta,MONTH(DetsP1+31)=12),DetsP1+31,""))</f>
        <v>44195</v>
      </c>
      <c r="N54" s="25">
        <f>IF(DAY(DetsP1)=1,IF(AND(YEAR(DetsP1+25)=Kalendriaasta,MONTH(DetsP1+25)=12),DetsP1+25,""),IF(AND(YEAR(DetsP1+32)=Kalendriaasta,MONTH(DetsP1+32)=12),DetsP1+32,""))</f>
        <v>44196</v>
      </c>
      <c r="O54" s="25" t="str">
        <f>IF(DAY(DetsP1)=1,IF(AND(YEAR(DetsP1+26)=Kalendriaasta,MONTH(DetsP1+26)=12),DetsP1+26,""),IF(AND(YEAR(DetsP1+33)=Kalendriaasta,MONTH(DetsP1+33)=12),DetsP1+33,""))</f>
        <v/>
      </c>
      <c r="P54" s="25" t="str">
        <f>IF(DAY(DetsP1)=1,IF(AND(YEAR(DetsP1+27)=Kalendriaasta,MONTH(DetsP1+27)=12),DetsP1+27,""),IF(AND(YEAR(DetsP1+34)=Kalendriaasta,MONTH(DetsP1+34)=12),DetsP1+34,""))</f>
        <v/>
      </c>
      <c r="Q54" s="25" t="str">
        <f>IF(DAY(DetsP1)=1,IF(AND(YEAR(DetsP1+28)=Kalendriaasta,MONTH(DetsP1+28)=12),DetsP1+28,""),IF(AND(YEAR(DetsP1+35)=Kalendriaasta,MONTH(DetsP1+35)=12),DetsP1+35,""))</f>
        <v/>
      </c>
      <c r="S54" s="24"/>
      <c r="U54" s="29"/>
    </row>
    <row r="55" spans="1:21" ht="15" customHeight="1" x14ac:dyDescent="0.2">
      <c r="C55" s="25">
        <f>IF(DAY(NovP1)=1,IF(AND(YEAR(NovP1+29)=Kalendriaasta,MONTH(NovP1+29)=11),NovP1+29,""),IF(AND(YEAR(NovP1+36)=Kalendriaasta,MONTH(NovP1+36)=11),NovP1+36,""))</f>
        <v>44165</v>
      </c>
      <c r="D55" s="25" t="str">
        <f>IF(DAY(NovP1)=1,IF(AND(YEAR(NovP1+30)=Kalendriaasta,MONTH(NovP1+30)=11),NovP1+30,""),IF(AND(YEAR(NovP1+37)=Kalendriaasta,MONTH(NovP1+37)=11),NovP1+37,""))</f>
        <v/>
      </c>
      <c r="E55" s="25" t="str">
        <f>IF(DAY(NovP1)=1,IF(AND(YEAR(NovP1+31)=Kalendriaasta,MONTH(NovP1+31)=11),NovP1+31,""),IF(AND(YEAR(NovP1+38)=Kalendriaasta,MONTH(NovP1+38)=11),NovP1+38,""))</f>
        <v/>
      </c>
      <c r="F55" s="25" t="str">
        <f>IF(DAY(NovP1)=1,IF(AND(YEAR(NovP1+32)=Kalendriaasta,MONTH(NovP1+32)=11),NovP1+32,""),IF(AND(YEAR(NovP1+39)=Kalendriaasta,MONTH(NovP1+39)=11),NovP1+39,""))</f>
        <v/>
      </c>
      <c r="G55" s="25" t="str">
        <f>IF(DAY(NovP1)=1,IF(AND(YEAR(NovP1+33)=Kalendriaasta,MONTH(NovP1+33)=11),NovP1+33,""),IF(AND(YEAR(NovP1+40)=Kalendriaasta,MONTH(NovP1+40)=11),NovP1+40,""))</f>
        <v/>
      </c>
      <c r="H55" s="25" t="str">
        <f>IF(DAY(NovP1)=1,IF(AND(YEAR(NovP1+34)=Kalendriaasta,MONTH(NovP1+34)=11),NovP1+34,""),IF(AND(YEAR(NovP1+41)=Kalendriaasta,MONTH(NovP1+41)=11),NovP1+41,""))</f>
        <v/>
      </c>
      <c r="I55" s="25" t="str">
        <f>IF(DAY(NovP1)=1,IF(AND(YEAR(NovP1+35)=Kalendriaasta,MONTH(NovP1+35)=11),NovP1+35,""),IF(AND(YEAR(NovP1+42)=Kalendriaasta,MONTH(NovP1+42)=11),NovP1+42,""))</f>
        <v/>
      </c>
      <c r="K55" s="25" t="str">
        <f>IF(DAY(DetsP1)=1,IF(AND(YEAR(DetsP1+29)=Kalendriaasta,MONTH(DetsP1+29)=12),DetsP1+29,""),IF(AND(YEAR(DetsP1+36)=Kalendriaasta,MONTH(DetsP1+36)=12),DetsP1+36,""))</f>
        <v/>
      </c>
      <c r="L55" s="25" t="str">
        <f>IF(DAY(DetsP1)=1,IF(AND(YEAR(DetsP1+30)=Kalendriaasta,MONTH(DetsP1+30)=12),DetsP1+30,""),IF(AND(YEAR(DetsP1+37)=Kalendriaasta,MONTH(DetsP1+37)=12),DetsP1+37,""))</f>
        <v/>
      </c>
      <c r="M55" s="25" t="str">
        <f>IF(DAY(DetsP1)=1,IF(AND(YEAR(DetsP1+31)=Kalendriaasta,MONTH(DetsP1+31)=12),DetsP1+31,""),IF(AND(YEAR(DetsP1+38)=Kalendriaasta,MONTH(DetsP1+38)=12),DetsP1+38,""))</f>
        <v/>
      </c>
      <c r="N55" s="25" t="str">
        <f>IF(DAY(DetsP1)=1,IF(AND(YEAR(DetsP1+32)=Kalendriaasta,MONTH(DetsP1+32)=12),DetsP1+32,""),IF(AND(YEAR(DetsP1+39)=Kalendriaasta,MONTH(DetsP1+39)=12),DetsP1+39,""))</f>
        <v/>
      </c>
      <c r="O55" s="25" t="str">
        <f>IF(DAY(DetsP1)=1,IF(AND(YEAR(DetsP1+33)=Kalendriaasta,MONTH(DetsP1+33)=12),DetsP1+33,""),IF(AND(YEAR(DetsP1+40)=Kalendriaasta,MONTH(DetsP1+40)=12),DetsP1+40,""))</f>
        <v/>
      </c>
      <c r="P55" s="25" t="str">
        <f>IF(DAY(DetsP1)=1,IF(AND(YEAR(DetsP1+34)=Kalendriaasta,MONTH(DetsP1+34)=12),DetsP1+34,""),IF(AND(YEAR(DetsP1+41)=Kalendriaasta,MONTH(DetsP1+41)=12),DetsP1+41,""))</f>
        <v/>
      </c>
      <c r="Q55" s="25" t="str">
        <f>IF(DAY(DetsP1)=1,IF(AND(YEAR(DetsP1+35)=Kalendriaasta,MONTH(DetsP1+35)=12),DetsP1+35,""),IF(AND(YEAR(DetsP1+42)=Kalendriaasta,MONTH(DetsP1+42)=12),DetsP1+42,""))</f>
        <v/>
      </c>
      <c r="S55" s="24"/>
      <c r="U55" s="29"/>
    </row>
    <row r="56" spans="1:21" ht="15" customHeight="1" x14ac:dyDescent="0.2"/>
    <row r="57" spans="1:21" ht="15" customHeight="1" x14ac:dyDescent="0.2"/>
    <row r="58" spans="1:21" ht="15" customHeight="1" x14ac:dyDescent="0.2"/>
    <row r="59" spans="1:21" ht="15" customHeight="1" x14ac:dyDescent="0.2"/>
    <row r="60" spans="1:21" ht="15" customHeight="1" x14ac:dyDescent="0.2"/>
    <row r="61" spans="1:21" ht="15" customHeight="1" x14ac:dyDescent="0.2"/>
    <row r="62" spans="1:21" ht="15" customHeight="1" x14ac:dyDescent="0.2"/>
    <row r="63" spans="1:21" ht="15" customHeight="1" x14ac:dyDescent="0.2"/>
    <row r="64" spans="1:21" ht="15" customHeight="1" x14ac:dyDescent="0.2"/>
    <row r="65" ht="15" customHeight="1" x14ac:dyDescent="0.2"/>
    <row r="66" ht="15" customHeight="1" x14ac:dyDescent="0.2"/>
    <row r="67" ht="15" customHeight="1" x14ac:dyDescent="0.2"/>
    <row r="68" ht="15" customHeight="1" x14ac:dyDescent="0.2"/>
    <row r="69" ht="15" customHeight="1" x14ac:dyDescent="0.2"/>
  </sheetData>
  <mergeCells count="16">
    <mergeCell ref="V3:W48"/>
    <mergeCell ref="C12:I12"/>
    <mergeCell ref="K12:Q12"/>
    <mergeCell ref="C21:I21"/>
    <mergeCell ref="K21:Q21"/>
    <mergeCell ref="C30:I30"/>
    <mergeCell ref="K30:Q30"/>
    <mergeCell ref="C1:F1"/>
    <mergeCell ref="B2:J2"/>
    <mergeCell ref="C3:I3"/>
    <mergeCell ref="K3:Q3"/>
    <mergeCell ref="U51:U55"/>
    <mergeCell ref="C39:I39"/>
    <mergeCell ref="K39:Q39"/>
    <mergeCell ref="C48:I48"/>
    <mergeCell ref="K48:Q48"/>
  </mergeCells>
  <phoneticPr fontId="6" type="noConversion"/>
  <dataValidations count="1">
    <dataValidation allowBlank="1" showInputMessage="1" showErrorMessage="1" errorTitle="Sobimatu aasta" error="Sisestage aasta vahemikus 1900 kuni 9999 või valige aasta kerimisriba abil." sqref="C1:F1" xr:uid="{00000000-0002-0000-0100-000000000000}"/>
  </dataValidations>
  <printOptions horizontalCentered="1" verticalCentered="1"/>
  <pageMargins left="0.5" right="0.5" top="0.5" bottom="0.5" header="0.3" footer="0.3"/>
  <pageSetup paperSize="9" scale="82" orientation="portrait" verticalDpi="1200" r:id="rId1"/>
  <drawing r:id="rId2"/>
  <legacyDrawing r:id="rId3"/>
  <mc:AlternateContent xmlns:mc="http://schemas.openxmlformats.org/markup-compatibility/2006">
    <mc:Choice Requires="x14">
      <controls>
        <mc:AlternateContent xmlns:mc="http://schemas.openxmlformats.org/markup-compatibility/2006">
          <mc:Choice Requires="x14">
            <control shapeId="1033" r:id="rId4" name="Spinner">
              <controlPr defaultSize="0" print="0" autoPict="0" altText="Kalendriaasta muutmiseks kasutage spinneri nuppu või sisestage soovitud aasta lahtrisse C1.">
                <anchor moveWithCells="1">
                  <from>
                    <xdr:col>1</xdr:col>
                    <xdr:colOff>114300</xdr:colOff>
                    <xdr:row>0</xdr:row>
                    <xdr:rowOff>38100</xdr:rowOff>
                  </from>
                  <to>
                    <xdr:col>1</xdr:col>
                    <xdr:colOff>266700</xdr:colOff>
                    <xdr:row>0</xdr:row>
                    <xdr:rowOff>342900</xdr:rowOff>
                  </to>
                </anchor>
              </controlPr>
            </control>
          </mc:Choice>
        </mc:AlternateContent>
      </controls>
    </mc:Choice>
  </mc:AlternateContent>
  <tableParts count="12">
    <tablePart r:id="rId5"/>
    <tablePart r:id="rId6"/>
    <tablePart r:id="rId7"/>
    <tablePart r:id="rId8"/>
    <tablePart r:id="rId9"/>
    <tablePart r:id="rId10"/>
    <tablePart r:id="rId11"/>
    <tablePart r:id="rId12"/>
    <tablePart r:id="rId13"/>
    <tablePart r:id="rId14"/>
    <tablePart r:id="rId15"/>
    <tablePart r:id="rId16"/>
  </tableParts>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11" ma:contentTypeDescription="Create a new document." ma:contentTypeScope="" ma:versionID="9677210f24a1be23c92c90fd886aa0aa">
  <xsd:schema xmlns:xsd="http://www.w3.org/2001/XMLSchema" xmlns:xs="http://www.w3.org/2001/XMLSchema" xmlns:p="http://schemas.microsoft.com/office/2006/metadata/properties" xmlns:ns2="71af3243-3dd4-4a8d-8c0d-dd76da1f02a5" xmlns:ns3="16c05727-aa75-4e4a-9b5f-8a80a1165891" targetNamespace="http://schemas.microsoft.com/office/2006/metadata/properties" ma:root="true" ma:fieldsID="60e05723c5c1908df1a1a4ebf11d344e" ns2:_="" ns3:_="">
    <xsd:import namespace="71af3243-3dd4-4a8d-8c0d-dd76da1f02a5"/>
    <xsd:import namespace="16c05727-aa75-4e4a-9b5f-8a80a1165891"/>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1" nillable="true" ma:displayName="MediaServiceAutoTags"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fals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MediaServiceKeyPoints xmlns="71af3243-3dd4-4a8d-8c0d-dd76da1f02a5" xsi:nil="true"/>
  </documentManagement>
</p:properties>
</file>

<file path=customXml/itemProps1.xml><?xml version="1.0" encoding="utf-8"?>
<ds:datastoreItem xmlns:ds="http://schemas.openxmlformats.org/officeDocument/2006/customXml" ds:itemID="{CE7B6DD9-B1A1-4CCF-BA6C-C388D2464C4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1af3243-3dd4-4a8d-8c0d-dd76da1f02a5"/>
    <ds:schemaRef ds:uri="16c05727-aa75-4e4a-9b5f-8a80a116589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F910982-F24E-49CE-AAE3-0CDBB69F7F11}">
  <ds:schemaRefs>
    <ds:schemaRef ds:uri="http://schemas.microsoft.com/sharepoint/v3/contenttype/forms"/>
  </ds:schemaRefs>
</ds:datastoreItem>
</file>

<file path=customXml/itemProps3.xml><?xml version="1.0" encoding="utf-8"?>
<ds:datastoreItem xmlns:ds="http://schemas.openxmlformats.org/officeDocument/2006/customXml" ds:itemID="{81477D36-9C31-4E01-8098-E1A11F5C4BF3}">
  <ds:schemaRefs>
    <ds:schemaRef ds:uri="http://schemas.microsoft.com/office/2006/metadata/properties"/>
    <ds:schemaRef ds:uri="http://schemas.microsoft.com/office/infopath/2007/PartnerControls"/>
    <ds:schemaRef ds:uri="71af3243-3dd4-4a8d-8c0d-dd76da1f02a5"/>
  </ds:schemaRefs>
</ds:datastoreItem>
</file>

<file path=docProps/app.xml><?xml version="1.0" encoding="utf-8"?>
<Properties xmlns="http://schemas.openxmlformats.org/officeDocument/2006/extended-properties" xmlns:vt="http://schemas.openxmlformats.org/officeDocument/2006/docPropsVTypes">
  <TotalTime>0</TotalTime>
  <DocSecurity>0</DocSecurity>
  <ScaleCrop>false</ScaleCrop>
  <HeadingPairs>
    <vt:vector size="4" baseType="variant">
      <vt:variant>
        <vt:lpstr>Töölehed</vt:lpstr>
      </vt:variant>
      <vt:variant>
        <vt:i4>2</vt:i4>
      </vt:variant>
      <vt:variant>
        <vt:lpstr>Nimega vahemikud</vt:lpstr>
      </vt:variant>
      <vt:variant>
        <vt:i4>2</vt:i4>
      </vt:variant>
    </vt:vector>
  </HeadingPairs>
  <TitlesOfParts>
    <vt:vector size="4" baseType="lpstr">
      <vt:lpstr>Algus</vt:lpstr>
      <vt:lpstr>Aastakalender</vt:lpstr>
      <vt:lpstr>Kalendriaasta</vt:lpstr>
      <vt:lpstr>Aastakalender!Prindiala</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2019-06-15T10:14:58Z</dcterms:created>
  <dcterms:modified xsi:type="dcterms:W3CDTF">2020-02-18T10:39:21Z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