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rossd\Desktop\ETI\"/>
    </mc:Choice>
  </mc:AlternateContent>
  <bookViews>
    <workbookView xWindow="0" yWindow="900" windowWidth="20490" windowHeight="7515" tabRatio="741"/>
  </bookViews>
  <sheets>
    <sheet name="Jaan" sheetId="1" r:id="rId1"/>
    <sheet name="Veebr" sheetId="6" r:id="rId2"/>
    <sheet name="Märts" sheetId="7" r:id="rId3"/>
    <sheet name="Apr" sheetId="8" r:id="rId4"/>
    <sheet name="Mai" sheetId="9" r:id="rId5"/>
    <sheet name="Juuni" sheetId="10" r:id="rId6"/>
    <sheet name="Juuli" sheetId="11" r:id="rId7"/>
    <sheet name="Aug" sheetId="12" r:id="rId8"/>
    <sheet name="Sept" sheetId="13" r:id="rId9"/>
    <sheet name="Okt" sheetId="14" r:id="rId10"/>
    <sheet name="Nov" sheetId="15" r:id="rId11"/>
    <sheet name="Dets" sheetId="16" r:id="rId12"/>
  </sheets>
  <definedNames>
    <definedName name="AprP1">DATE(Kalendriaasta,4,1)-WEEKDAY(DATE(Kalendriaasta,4,1))+1</definedName>
    <definedName name="AugP1">DATE(Kalendriaasta,8,1)-WEEKDAY(DATE(Kalendriaasta,8,1))+1</definedName>
    <definedName name="DetsP1">DATE(Kalendriaasta,12,1)-WEEKDAY(DATE(Kalendriaasta,12,1))+1</definedName>
    <definedName name="JaanP1">DATE(Kalendriaasta,1,1)-WEEKDAY(DATE(Kalendriaasta,1,1))+1</definedName>
    <definedName name="JuuliP1">DATE(Kalendriaasta,7,1)-WEEKDAY(DATE(Kalendriaasta,7,1))+1</definedName>
    <definedName name="JuuniP1">DATE(Kalendriaasta,6,1)-WEEKDAY(DATE(Kalendriaasta,6,1))+1</definedName>
    <definedName name="Kalendriaasta">Jaan!$N$2</definedName>
    <definedName name="MaiP1">DATE(Kalendriaasta,5,1)-WEEKDAY(DATE(Kalendriaasta,5,1))+1</definedName>
    <definedName name="MärtsP1">DATE(Kalendriaasta,3,1)-WEEKDAY(DATE(Kalendriaasta,3,1))+1</definedName>
    <definedName name="NovP1">DATE(Kalendriaasta,11,1)-WEEKDAY(DATE(Kalendriaasta,11,1))+1</definedName>
    <definedName name="OktP1">DATE(Kalendriaasta,10,1)-WEEKDAY(DATE(Kalendriaasta,10,1))+1</definedName>
    <definedName name="OlulisedKuupäevadTabel" localSheetId="3">Apr!$L$4:$M$8</definedName>
    <definedName name="OlulisedKuupäevadTabel" localSheetId="7">Aug!$L$4:$M$8</definedName>
    <definedName name="OlulisedKuupäevadTabel" localSheetId="11">Dets!$L$4:$M$8</definedName>
    <definedName name="OlulisedKuupäevadTabel" localSheetId="6">Juuli!$L$4:$M$8</definedName>
    <definedName name="OlulisedKuupäevadTabel" localSheetId="5">Juuni!$L$4:$M$8</definedName>
    <definedName name="OlulisedKuupäevadTabel" localSheetId="4">Mai!$L$4:$M$8</definedName>
    <definedName name="OlulisedKuupäevadTabel" localSheetId="2">Märts!$L$4:$M$8</definedName>
    <definedName name="OlulisedKuupäevadTabel" localSheetId="10">Nov!$L$4:$M$8</definedName>
    <definedName name="OlulisedKuupäevadTabel" localSheetId="9">Okt!$L$4:$M$8</definedName>
    <definedName name="OlulisedKuupäevadTabel" localSheetId="8">Sept!$L$4:$M$8</definedName>
    <definedName name="OlulisedKuupäevadTabel" localSheetId="1">Veebr!$L$4:$M$8</definedName>
    <definedName name="OlulisedKuupäevadTabel">Jaan!$L$4:$M$8</definedName>
    <definedName name="_xlnm.Print_Area" localSheetId="3">Apr!$A$1:$N$33</definedName>
    <definedName name="_xlnm.Print_Area" localSheetId="7">Aug!$A$1:$N$33</definedName>
    <definedName name="_xlnm.Print_Area" localSheetId="11">Dets!$A$1:$N$33</definedName>
    <definedName name="_xlnm.Print_Area" localSheetId="0">Jaan!$A$1:$N$33</definedName>
    <definedName name="_xlnm.Print_Area" localSheetId="6">Juuli!$A$1:$N$33</definedName>
    <definedName name="_xlnm.Print_Area" localSheetId="5">Juuni!$A$1:$N$33</definedName>
    <definedName name="_xlnm.Print_Area" localSheetId="4">Mai!$A$1:$N$33</definedName>
    <definedName name="_xlnm.Print_Area" localSheetId="2">Märts!$A$1:$N$33</definedName>
    <definedName name="_xlnm.Print_Area" localSheetId="10">Nov!$A$1:$N$33</definedName>
    <definedName name="_xlnm.Print_Area" localSheetId="9">Okt!$A$1:$N$33</definedName>
    <definedName name="_xlnm.Print_Area" localSheetId="8">Sept!$A$1:$N$33</definedName>
    <definedName name="_xlnm.Print_Area" localSheetId="1">Veebr!$A$1:$N$33</definedName>
    <definedName name="SeptP1">DATE(Kalendriaasta,9,1)-WEEKDAY(DATE(Kalendriaasta,9,1))+1</definedName>
    <definedName name="VeebrP1">DATE(Kalendriaasta,2,1)-WEEKDAY(DATE(Kalendriaasta,2,1))+1</definedName>
    <definedName name="ÜlesannePäevad" localSheetId="3">Apr!$L$4:$L$33</definedName>
    <definedName name="ÜlesannePäevad" localSheetId="7">Aug!$L$4:$L$33</definedName>
    <definedName name="ÜlesannePäevad" localSheetId="11">Dets!$L$4:$L$33</definedName>
    <definedName name="ÜlesannePäevad" localSheetId="6">Juuli!$L$4:$L$33</definedName>
    <definedName name="ÜlesannePäevad" localSheetId="5">Juuni!$L$4:$L$33</definedName>
    <definedName name="ÜlesannePäevad" localSheetId="4">Mai!$L$4:$L$33</definedName>
    <definedName name="ÜlesannePäevad" localSheetId="2">Märts!$L$4:$L$33</definedName>
    <definedName name="ÜlesannePäevad" localSheetId="10">Nov!$L$4:$L$33</definedName>
    <definedName name="ÜlesannePäevad" localSheetId="9">Okt!$L$4:$L$33</definedName>
    <definedName name="ÜlesannePäevad" localSheetId="8">Sept!$L$4:$L$33</definedName>
    <definedName name="ÜlesannePäevad" localSheetId="1">Veebr!$L$4:$L$33</definedName>
    <definedName name="ÜlesannePäevad">Jaan!$L$4:$L$33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7" l="1"/>
  <c r="N2" i="8"/>
  <c r="N2" i="9"/>
  <c r="N2" i="10"/>
  <c r="N2" i="11"/>
  <c r="N2" i="12"/>
  <c r="N2" i="13"/>
  <c r="N2" i="14"/>
  <c r="N2" i="15"/>
  <c r="N2" i="16"/>
  <c r="N2" i="6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C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<sst xmlns="http://schemas.openxmlformats.org/spreadsheetml/2006/main" count="555" uniqueCount="34">
  <si>
    <t>JAAN</t>
  </si>
  <si>
    <t>NÄDALA AJAKAVA</t>
  </si>
  <si>
    <t>E</t>
  </si>
  <si>
    <t>8:00</t>
  </si>
  <si>
    <t>Prantsuse keel</t>
  </si>
  <si>
    <t>10:00</t>
  </si>
  <si>
    <t>Matemaatika</t>
  </si>
  <si>
    <t>14:00</t>
  </si>
  <si>
    <t>Inglise keel</t>
  </si>
  <si>
    <t>T</t>
  </si>
  <si>
    <t>9:00</t>
  </si>
  <si>
    <t>Kunstiajalugu</t>
  </si>
  <si>
    <t>16:00</t>
  </si>
  <si>
    <t>Programmeerimine</t>
  </si>
  <si>
    <t>K</t>
  </si>
  <si>
    <t>N</t>
  </si>
  <si>
    <t>R</t>
  </si>
  <si>
    <t>L</t>
  </si>
  <si>
    <t>ÜLESANDED</t>
  </si>
  <si>
    <t>Prantsuse keel: essee mustandi tähtaeg</t>
  </si>
  <si>
    <t>Kunstiajalugu: kontrolltöö</t>
  </si>
  <si>
    <t>&lt; Sisestage kalendriaasta lahtrisse N2.</t>
  </si>
  <si>
    <t>OKT</t>
  </si>
  <si>
    <t>NOV</t>
  </si>
  <si>
    <t>DETS</t>
  </si>
  <si>
    <t>VEEBR</t>
  </si>
  <si>
    <t>MÄRTS</t>
  </si>
  <si>
    <t>APR</t>
  </si>
  <si>
    <t>MAI</t>
  </si>
  <si>
    <t>JUUNI</t>
  </si>
  <si>
    <t>JUULI</t>
  </si>
  <si>
    <t>AUG</t>
  </si>
  <si>
    <t>SEPT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</si>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</sst>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1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  <font>
      <b/>
      <sz val="10"/>
      <color theme="4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</cellStyleXfs>
  <cellXfs count="81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indent="1"/>
    </xf>
    <xf numFmtId="0" fontId="0" fillId="0" borderId="8" xfId="0" applyFont="1" applyBorder="1"/>
    <xf numFmtId="0" fontId="0" fillId="0" borderId="15" xfId="0" applyFont="1" applyBorder="1"/>
    <xf numFmtId="0" fontId="10" fillId="3" borderId="20" xfId="0" applyFont="1" applyFill="1" applyBorder="1" applyAlignment="1">
      <alignment horizontal="left" vertical="top" indent="1"/>
    </xf>
    <xf numFmtId="0" fontId="10" fillId="3" borderId="10" xfId="0" applyFont="1" applyFill="1" applyBorder="1" applyAlignment="1">
      <alignment horizontal="left" vertical="top" indent="1"/>
    </xf>
    <xf numFmtId="49" fontId="9" fillId="3" borderId="7" xfId="0" applyNumberFormat="1" applyFont="1" applyFill="1" applyBorder="1" applyAlignment="1">
      <alignment horizontal="left" indent="1"/>
    </xf>
    <xf numFmtId="49" fontId="9" fillId="3" borderId="23" xfId="0" applyNumberFormat="1" applyFont="1" applyFill="1" applyBorder="1" applyAlignment="1">
      <alignment horizontal="left" inden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textRotation="90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textRotation="90"/>
    </xf>
    <xf numFmtId="164" fontId="1" fillId="0" borderId="1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0" fillId="0" borderId="39" xfId="0" applyFont="1" applyBorder="1"/>
    <xf numFmtId="0" fontId="0" fillId="0" borderId="40" xfId="0" applyFont="1" applyBorder="1"/>
    <xf numFmtId="164" fontId="15" fillId="0" borderId="13" xfId="0" applyNumberFormat="1" applyFont="1" applyFill="1" applyBorder="1" applyAlignment="1">
      <alignment horizontal="left" vertical="center" wrapText="1" indent="1"/>
    </xf>
    <xf numFmtId="0" fontId="0" fillId="0" borderId="14" xfId="0" applyFont="1" applyBorder="1"/>
    <xf numFmtId="0" fontId="19" fillId="0" borderId="0" xfId="0" applyFont="1" applyAlignment="1">
      <alignment vertical="center" wrapText="1"/>
    </xf>
    <xf numFmtId="0" fontId="17" fillId="0" borderId="6" xfId="2" applyFill="1" applyBorder="1" applyAlignment="1">
      <alignment vertical="top"/>
    </xf>
    <xf numFmtId="0" fontId="17" fillId="0" borderId="41" xfId="2" applyFill="1" applyBorder="1" applyAlignment="1">
      <alignment vertical="top"/>
    </xf>
    <xf numFmtId="0" fontId="17" fillId="0" borderId="6" xfId="2" applyFill="1" applyBorder="1" applyAlignment="1">
      <alignment vertical="center" textRotation="90"/>
    </xf>
    <xf numFmtId="0" fontId="17" fillId="0" borderId="41" xfId="2" applyFill="1" applyBorder="1" applyAlignment="1">
      <alignment vertical="center" textRotation="90"/>
    </xf>
    <xf numFmtId="0" fontId="0" fillId="0" borderId="38" xfId="0" applyFont="1" applyBorder="1"/>
    <xf numFmtId="0" fontId="17" fillId="0" borderId="6" xfId="2" applyFill="1" applyBorder="1" applyAlignment="1">
      <alignment vertical="top"/>
    </xf>
    <xf numFmtId="0" fontId="20" fillId="0" borderId="0" xfId="0" applyFont="1" applyAlignment="1">
      <alignment vertical="center" wrapText="1"/>
    </xf>
    <xf numFmtId="0" fontId="7" fillId="0" borderId="6" xfId="4" applyBorder="1" applyAlignment="1">
      <alignment horizontal="left" vertical="center"/>
    </xf>
    <xf numFmtId="0" fontId="7" fillId="0" borderId="0" xfId="4" applyAlignment="1">
      <alignment horizontal="left" vertical="center"/>
    </xf>
    <xf numFmtId="0" fontId="7" fillId="0" borderId="15" xfId="4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164" fontId="13" fillId="0" borderId="4" xfId="0" applyNumberFormat="1" applyFont="1" applyFill="1" applyBorder="1" applyAlignment="1">
      <alignment horizontal="left"/>
    </xf>
    <xf numFmtId="164" fontId="13" fillId="0" borderId="19" xfId="0" applyNumberFormat="1" applyFont="1" applyFill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49" fontId="9" fillId="3" borderId="9" xfId="0" applyNumberFormat="1" applyFont="1" applyFill="1" applyBorder="1" applyAlignment="1">
      <alignment horizontal="left" indent="1"/>
    </xf>
    <xf numFmtId="49" fontId="9" fillId="3" borderId="5" xfId="0" applyNumberFormat="1" applyFont="1" applyFill="1" applyBorder="1" applyAlignment="1">
      <alignment horizontal="left" indent="1"/>
    </xf>
    <xf numFmtId="0" fontId="10" fillId="3" borderId="21" xfId="0" applyFont="1" applyFill="1" applyBorder="1" applyAlignment="1">
      <alignment horizontal="left" vertical="top" indent="1"/>
    </xf>
    <xf numFmtId="0" fontId="10" fillId="3" borderId="22" xfId="0" applyFont="1" applyFill="1" applyBorder="1" applyAlignment="1">
      <alignment horizontal="left" vertical="top" indent="1"/>
    </xf>
    <xf numFmtId="0" fontId="10" fillId="3" borderId="11" xfId="0" applyFont="1" applyFill="1" applyBorder="1" applyAlignment="1">
      <alignment horizontal="left" vertical="top" indent="1"/>
    </xf>
    <xf numFmtId="0" fontId="10" fillId="3" borderId="12" xfId="0" applyFont="1" applyFill="1" applyBorder="1" applyAlignment="1">
      <alignment horizontal="left" vertical="top" indent="1"/>
    </xf>
    <xf numFmtId="49" fontId="11" fillId="3" borderId="9" xfId="0" applyNumberFormat="1" applyFont="1" applyFill="1" applyBorder="1" applyAlignment="1">
      <alignment horizontal="left" indent="1"/>
    </xf>
    <xf numFmtId="49" fontId="11" fillId="3" borderId="15" xfId="0" applyNumberFormat="1" applyFont="1" applyFill="1" applyBorder="1" applyAlignment="1">
      <alignment horizontal="left" indent="1"/>
    </xf>
    <xf numFmtId="0" fontId="10" fillId="3" borderId="26" xfId="0" applyFont="1" applyFill="1" applyBorder="1" applyAlignment="1">
      <alignment horizontal="left" vertical="top" indent="1"/>
    </xf>
    <xf numFmtId="49" fontId="9" fillId="3" borderId="9" xfId="0" applyNumberFormat="1" applyFont="1" applyFill="1" applyBorder="1" applyAlignment="1">
      <alignment horizontal="left" vertical="center" indent="1"/>
    </xf>
    <xf numFmtId="49" fontId="9" fillId="3" borderId="15" xfId="0" applyNumberFormat="1" applyFont="1" applyFill="1" applyBorder="1" applyAlignment="1">
      <alignment horizontal="left" vertical="center" indent="1"/>
    </xf>
    <xf numFmtId="164" fontId="10" fillId="3" borderId="11" xfId="0" applyNumberFormat="1" applyFont="1" applyFill="1" applyBorder="1" applyAlignment="1">
      <alignment horizontal="left" vertical="top" indent="1"/>
    </xf>
    <xf numFmtId="164" fontId="10" fillId="3" borderId="14" xfId="0" applyNumberFormat="1" applyFont="1" applyFill="1" applyBorder="1" applyAlignment="1">
      <alignment horizontal="left" vertical="top" indent="1"/>
    </xf>
    <xf numFmtId="164" fontId="10" fillId="3" borderId="21" xfId="0" applyNumberFormat="1" applyFont="1" applyFill="1" applyBorder="1" applyAlignment="1">
      <alignment horizontal="left" vertical="top" indent="1"/>
    </xf>
    <xf numFmtId="164" fontId="10" fillId="3" borderId="26" xfId="0" applyNumberFormat="1" applyFont="1" applyFill="1" applyBorder="1" applyAlignment="1">
      <alignment horizontal="left" vertical="top" indent="1"/>
    </xf>
    <xf numFmtId="49" fontId="9" fillId="3" borderId="15" xfId="0" applyNumberFormat="1" applyFont="1" applyFill="1" applyBorder="1" applyAlignment="1">
      <alignment horizontal="left" indent="1"/>
    </xf>
    <xf numFmtId="0" fontId="11" fillId="3" borderId="21" xfId="0" applyFont="1" applyFill="1" applyBorder="1" applyAlignment="1">
      <alignment horizontal="left" vertical="top" indent="1"/>
    </xf>
    <xf numFmtId="0" fontId="11" fillId="3" borderId="26" xfId="0" applyFont="1" applyFill="1" applyBorder="1" applyAlignment="1">
      <alignment horizontal="left" vertical="top" indent="1"/>
    </xf>
    <xf numFmtId="49" fontId="9" fillId="3" borderId="24" xfId="0" applyNumberFormat="1" applyFont="1" applyFill="1" applyBorder="1" applyAlignment="1">
      <alignment horizontal="left" indent="1"/>
    </xf>
    <xf numFmtId="49" fontId="9" fillId="3" borderId="25" xfId="0" applyNumberFormat="1" applyFont="1" applyFill="1" applyBorder="1" applyAlignment="1">
      <alignment horizontal="left" indent="1"/>
    </xf>
    <xf numFmtId="49" fontId="9" fillId="3" borderId="27" xfId="0" applyNumberFormat="1" applyFont="1" applyFill="1" applyBorder="1" applyAlignment="1">
      <alignment horizontal="left" indent="1"/>
    </xf>
    <xf numFmtId="0" fontId="7" fillId="0" borderId="35" xfId="5" applyBorder="1" applyAlignment="1">
      <alignment vertical="top"/>
    </xf>
    <xf numFmtId="0" fontId="7" fillId="0" borderId="28" xfId="5" applyBorder="1" applyAlignment="1">
      <alignment vertical="top"/>
    </xf>
    <xf numFmtId="0" fontId="8" fillId="2" borderId="9" xfId="0" applyFont="1" applyFill="1" applyBorder="1" applyAlignment="1">
      <alignment horizontal="left" indent="1"/>
    </xf>
    <xf numFmtId="0" fontId="8" fillId="2" borderId="15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left" indent="1"/>
    </xf>
    <xf numFmtId="0" fontId="16" fillId="0" borderId="32" xfId="3" applyBorder="1" applyAlignment="1">
      <alignment horizontal="left" vertical="center"/>
    </xf>
    <xf numFmtId="0" fontId="16" fillId="0" borderId="33" xfId="3" applyBorder="1" applyAlignment="1">
      <alignment horizontal="left" vertical="center"/>
    </xf>
    <xf numFmtId="0" fontId="16" fillId="0" borderId="29" xfId="3" applyBorder="1" applyAlignment="1">
      <alignment horizontal="left" vertical="center"/>
    </xf>
    <xf numFmtId="0" fontId="16" fillId="0" borderId="30" xfId="3" applyBorder="1" applyAlignment="1">
      <alignment horizontal="left" vertical="center"/>
    </xf>
    <xf numFmtId="0" fontId="7" fillId="0" borderId="32" xfId="5" applyBorder="1" applyAlignment="1">
      <alignment vertical="top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6" fillId="0" borderId="34" xfId="3" applyFill="1" applyBorder="1" applyAlignment="1">
      <alignment horizontal="center" vertical="center"/>
    </xf>
    <xf numFmtId="0" fontId="16" fillId="0" borderId="31" xfId="3" applyFill="1" applyBorder="1" applyAlignment="1">
      <alignment horizontal="center" vertical="center"/>
    </xf>
    <xf numFmtId="0" fontId="16" fillId="0" borderId="42" xfId="3" applyBorder="1" applyAlignment="1">
      <alignment horizontal="center" vertical="center"/>
    </xf>
    <xf numFmtId="0" fontId="16" fillId="0" borderId="43" xfId="3" applyBorder="1" applyAlignment="1">
      <alignment horizontal="center" vertical="center"/>
    </xf>
  </cellXfs>
  <cellStyles count="6">
    <cellStyle name="Normaallaad" xfId="0" builtinId="0" customBuiltin="1"/>
    <cellStyle name="Pealkiri" xfId="1" builtinId="15" customBuiltin="1"/>
    <cellStyle name="Pealkiri 1" xfId="2" builtinId="16" customBuiltin="1"/>
    <cellStyle name="Pealkiri 2" xfId="3" builtinId="17" customBuiltin="1"/>
    <cellStyle name="Pealkiri 3" xfId="4" builtinId="18" customBuiltin="1"/>
    <cellStyle name="Pealkiri 4" xfId="5" builtinId="19" customBuiltin="1"/>
  </cellStyles>
  <dxfs count="59"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elilaadLihtne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elilaadLihtne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P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7.7109375" style="1" customWidth="1"/>
    <col min="3" max="10" width="9.285156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36.7109375" bestFit="1" customWidth="1"/>
    <col min="17" max="16384" width="8.7109375" style="1"/>
  </cols>
  <sheetData>
    <row r="1" spans="1:16" ht="11.25" customHeight="1" x14ac:dyDescent="0.2"/>
    <row r="2" spans="1:16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18</v>
      </c>
      <c r="L2" s="71">
        <v>2013</v>
      </c>
      <c r="M2" s="71"/>
      <c r="N2" s="77">
        <v>2016</v>
      </c>
      <c r="P2" s="32" t="s">
        <v>21</v>
      </c>
    </row>
    <row r="3" spans="1:16" ht="21" customHeight="1" x14ac:dyDescent="0.2">
      <c r="A3" s="4"/>
      <c r="B3" s="31" t="s">
        <v>0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17</v>
      </c>
      <c r="I3" s="2" t="s">
        <v>33</v>
      </c>
      <c r="J3" s="5"/>
      <c r="K3" s="72"/>
      <c r="L3" s="73"/>
      <c r="M3" s="73"/>
      <c r="N3" s="78"/>
      <c r="P3" s="32"/>
    </row>
    <row r="4" spans="1:16" ht="18" customHeight="1" x14ac:dyDescent="0.2">
      <c r="A4" s="4"/>
      <c r="B4" s="31"/>
      <c r="C4" s="10">
        <f>IF(DAY(JaanP1)=1,JaanP1-6,JaanP1+1)</f>
        <v>42366</v>
      </c>
      <c r="D4" s="10">
        <f>IF(DAY(JaanP1)=1,JaanP1-5,JaanP1+2)</f>
        <v>42367</v>
      </c>
      <c r="E4" s="10">
        <f>IF(DAY(JaanP1)=1,JaanP1-4,JaanP1+3)</f>
        <v>42368</v>
      </c>
      <c r="F4" s="10">
        <f>IF(DAY(JaanP1)=1,JaanP1-3,JaanP1+4)</f>
        <v>42369</v>
      </c>
      <c r="G4" s="10">
        <f>IF(DAY(JaanP1)=1,JaanP1-2,JaanP1+5)</f>
        <v>42370</v>
      </c>
      <c r="H4" s="10">
        <f>IF(DAY(JaanP1)=1,JaanP1-1,JaanP1+6)</f>
        <v>42371</v>
      </c>
      <c r="I4" s="10">
        <f>IF(DAY(JaanP1)=1,JaanP1,JaanP1+7)</f>
        <v>42372</v>
      </c>
      <c r="J4" s="5"/>
      <c r="K4" s="74" t="s">
        <v>2</v>
      </c>
      <c r="L4" s="16">
        <v>5</v>
      </c>
      <c r="M4" s="75" t="s">
        <v>19</v>
      </c>
      <c r="N4" s="76"/>
      <c r="P4" s="25"/>
    </row>
    <row r="5" spans="1:16" ht="18" customHeight="1" x14ac:dyDescent="0.2">
      <c r="A5" s="4"/>
      <c r="B5" s="26"/>
      <c r="C5" s="10">
        <f>IF(DAY(JaanP1)=1,JaanP1+1,JaanP1+8)</f>
        <v>42373</v>
      </c>
      <c r="D5" s="10">
        <f>IF(DAY(JaanP1)=1,JaanP1+2,JaanP1+9)</f>
        <v>42374</v>
      </c>
      <c r="E5" s="10">
        <f>IF(DAY(JaanP1)=1,JaanP1+3,JaanP1+10)</f>
        <v>42375</v>
      </c>
      <c r="F5" s="10">
        <f>IF(DAY(JaanP1)=1,JaanP1+4,JaanP1+11)</f>
        <v>42376</v>
      </c>
      <c r="G5" s="10">
        <f>IF(DAY(JaanP1)=1,JaanP1+5,JaanP1+12)</f>
        <v>42377</v>
      </c>
      <c r="H5" s="10">
        <f>IF(DAY(JaanP1)=1,JaanP1+6,JaanP1+13)</f>
        <v>42378</v>
      </c>
      <c r="I5" s="10">
        <f>IF(DAY(JaanP1)=1,JaanP1+7,JaanP1+14)</f>
        <v>42379</v>
      </c>
      <c r="J5" s="5"/>
      <c r="K5" s="66"/>
      <c r="L5" s="17"/>
      <c r="M5" s="36"/>
      <c r="N5" s="37"/>
      <c r="P5" s="25"/>
    </row>
    <row r="6" spans="1:16" ht="18" customHeight="1" x14ac:dyDescent="0.2">
      <c r="A6" s="4"/>
      <c r="B6" s="26"/>
      <c r="C6" s="10">
        <f>IF(DAY(JaanP1)=1,JaanP1+8,JaanP1+15)</f>
        <v>42380</v>
      </c>
      <c r="D6" s="10">
        <f>IF(DAY(JaanP1)=1,JaanP1+9,JaanP1+16)</f>
        <v>42381</v>
      </c>
      <c r="E6" s="10">
        <f>IF(DAY(JaanP1)=1,JaanP1+10,JaanP1+17)</f>
        <v>42382</v>
      </c>
      <c r="F6" s="10">
        <f>IF(DAY(JaanP1)=1,JaanP1+11,JaanP1+18)</f>
        <v>42383</v>
      </c>
      <c r="G6" s="10">
        <f>IF(DAY(JaanP1)=1,JaanP1+12,JaanP1+19)</f>
        <v>42384</v>
      </c>
      <c r="H6" s="10">
        <f>IF(DAY(JaanP1)=1,JaanP1+13,JaanP1+20)</f>
        <v>42385</v>
      </c>
      <c r="I6" s="10">
        <f>IF(DAY(JaanP1)=1,JaanP1+14,JaanP1+21)</f>
        <v>42386</v>
      </c>
      <c r="J6" s="5"/>
      <c r="K6" s="66"/>
      <c r="L6" s="17"/>
      <c r="M6" s="36"/>
      <c r="N6" s="37"/>
    </row>
    <row r="7" spans="1:16" ht="18" customHeight="1" x14ac:dyDescent="0.2">
      <c r="A7" s="4"/>
      <c r="B7" s="26"/>
      <c r="C7" s="10">
        <f>IF(DAY(JaanP1)=1,JaanP1+15,JaanP1+22)</f>
        <v>42387</v>
      </c>
      <c r="D7" s="10">
        <f>IF(DAY(JaanP1)=1,JaanP1+16,JaanP1+23)</f>
        <v>42388</v>
      </c>
      <c r="E7" s="10">
        <f>IF(DAY(JaanP1)=1,JaanP1+17,JaanP1+24)</f>
        <v>42389</v>
      </c>
      <c r="F7" s="10">
        <f>IF(DAY(JaanP1)=1,JaanP1+18,JaanP1+25)</f>
        <v>42390</v>
      </c>
      <c r="G7" s="10">
        <f>IF(DAY(JaanP1)=1,JaanP1+19,JaanP1+26)</f>
        <v>42391</v>
      </c>
      <c r="H7" s="10">
        <f>IF(DAY(JaanP1)=1,JaanP1+20,JaanP1+27)</f>
        <v>42392</v>
      </c>
      <c r="I7" s="10">
        <f>IF(DAY(JaanP1)=1,JaanP1+21,JaanP1+28)</f>
        <v>42393</v>
      </c>
      <c r="J7" s="5"/>
      <c r="K7" s="11"/>
      <c r="L7" s="17"/>
      <c r="M7" s="36"/>
      <c r="N7" s="37"/>
    </row>
    <row r="8" spans="1:16" ht="18.75" customHeight="1" x14ac:dyDescent="0.2">
      <c r="A8" s="4"/>
      <c r="B8" s="26"/>
      <c r="C8" s="10">
        <f>IF(DAY(JaanP1)=1,JaanP1+22,JaanP1+29)</f>
        <v>42394</v>
      </c>
      <c r="D8" s="10">
        <f>IF(DAY(JaanP1)=1,JaanP1+23,JaanP1+30)</f>
        <v>42395</v>
      </c>
      <c r="E8" s="10">
        <f>IF(DAY(JaanP1)=1,JaanP1+24,JaanP1+31)</f>
        <v>42396</v>
      </c>
      <c r="F8" s="10">
        <f>IF(DAY(JaanP1)=1,JaanP1+25,JaanP1+32)</f>
        <v>42397</v>
      </c>
      <c r="G8" s="10">
        <f>IF(DAY(JaanP1)=1,JaanP1+26,JaanP1+33)</f>
        <v>42398</v>
      </c>
      <c r="H8" s="10">
        <f>IF(DAY(JaanP1)=1,JaanP1+27,JaanP1+34)</f>
        <v>42399</v>
      </c>
      <c r="I8" s="10">
        <f>IF(DAY(JaanP1)=1,JaanP1+28,JaanP1+35)</f>
        <v>42400</v>
      </c>
      <c r="J8" s="5"/>
      <c r="K8" s="11"/>
      <c r="L8" s="17"/>
      <c r="M8" s="36"/>
      <c r="N8" s="37"/>
    </row>
    <row r="9" spans="1:16" ht="18" customHeight="1" x14ac:dyDescent="0.2">
      <c r="A9" s="4"/>
      <c r="B9" s="26"/>
      <c r="C9" s="10">
        <f>IF(DAY(JaanP1)=1,JaanP1+29,JaanP1+36)</f>
        <v>42401</v>
      </c>
      <c r="D9" s="10">
        <f>IF(DAY(JaanP1)=1,JaanP1+30,JaanP1+37)</f>
        <v>42402</v>
      </c>
      <c r="E9" s="10">
        <f>IF(DAY(JaanP1)=1,JaanP1+31,JaanP1+38)</f>
        <v>42403</v>
      </c>
      <c r="F9" s="10">
        <f>IF(DAY(JaanP1)=1,JaanP1+32,JaanP1+39)</f>
        <v>42404</v>
      </c>
      <c r="G9" s="10">
        <f>IF(DAY(JaanP1)=1,JaanP1+33,JaanP1+40)</f>
        <v>42405</v>
      </c>
      <c r="H9" s="10">
        <f>IF(DAY(JaanP1)=1,JaanP1+34,JaanP1+41)</f>
        <v>42406</v>
      </c>
      <c r="I9" s="10">
        <f>IF(DAY(JaanP1)=1,JaanP1+35,JaanP1+42)</f>
        <v>42407</v>
      </c>
      <c r="J9" s="5"/>
      <c r="K9" s="12"/>
      <c r="L9" s="18"/>
      <c r="M9" s="40"/>
      <c r="N9" s="41"/>
    </row>
    <row r="10" spans="1:16" ht="18" customHeight="1" x14ac:dyDescent="0.2">
      <c r="A10" s="4"/>
      <c r="B10" s="27"/>
      <c r="C10" s="23"/>
      <c r="D10" s="23"/>
      <c r="E10" s="23"/>
      <c r="F10" s="23"/>
      <c r="G10" s="23"/>
      <c r="H10" s="23"/>
      <c r="I10" s="23"/>
      <c r="J10" s="24"/>
      <c r="K10" s="65" t="s">
        <v>9</v>
      </c>
      <c r="L10" s="16">
        <v>20</v>
      </c>
      <c r="M10" s="42" t="s">
        <v>20</v>
      </c>
      <c r="N10" s="43"/>
    </row>
    <row r="11" spans="1:16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6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6" ht="18" customHeight="1" x14ac:dyDescent="0.2">
      <c r="B13" s="3" t="s">
        <v>2</v>
      </c>
      <c r="C13" s="67" t="s">
        <v>9</v>
      </c>
      <c r="D13" s="69"/>
      <c r="E13" s="67" t="s">
        <v>14</v>
      </c>
      <c r="F13" s="69"/>
      <c r="G13" s="67" t="s">
        <v>15</v>
      </c>
      <c r="H13" s="69"/>
      <c r="I13" s="67" t="s">
        <v>16</v>
      </c>
      <c r="J13" s="68"/>
      <c r="K13" s="11"/>
      <c r="L13" s="17"/>
      <c r="M13" s="36"/>
      <c r="N13" s="37"/>
    </row>
    <row r="14" spans="1:16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6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6" ht="18" customHeight="1" x14ac:dyDescent="0.2">
      <c r="B16" s="8"/>
      <c r="C16" s="44" t="s">
        <v>10</v>
      </c>
      <c r="D16" s="45"/>
      <c r="E16" s="44"/>
      <c r="F16" s="45"/>
      <c r="G16" s="44" t="s">
        <v>10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11</v>
      </c>
      <c r="D17" s="47"/>
      <c r="E17" s="46"/>
      <c r="F17" s="47"/>
      <c r="G17" s="46" t="s">
        <v>11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15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12</v>
      </c>
      <c r="D30" s="45"/>
      <c r="E30" s="44"/>
      <c r="F30" s="45"/>
      <c r="G30" s="44" t="s">
        <v>12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13</v>
      </c>
      <c r="D31" s="47"/>
      <c r="E31" s="46"/>
      <c r="F31" s="47"/>
      <c r="G31" s="46" t="s">
        <v>13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4"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4" priority="3" stopIfTrue="1">
      <formula>AND(DAY(C8)&gt;=1,DAY(C8)&lt;=15)</formula>
    </cfRule>
  </conditionalFormatting>
  <conditionalFormatting sqref="C4:I9">
    <cfRule type="expression" dxfId="45" priority="15">
      <formula>VLOOKUP(DAY(C4),ÜlesannePäevad,1,FALSE)=DAY(C4)</formula>
    </cfRule>
  </conditionalFormatting>
  <conditionalFormatting sqref="B14:J33">
    <cfRule type="expression" dxfId="46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 verticalCentered="1"/>
  <pageMargins left="0.5" right="0.5" top="0.5" bottom="0.5" header="0.3" footer="0.3"/>
  <pageSetup paperSize="9" scale="83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7.7109375" style="1" customWidth="1"/>
    <col min="3" max="10" width="9.285156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18</v>
      </c>
      <c r="L2" s="71">
        <v>2013</v>
      </c>
      <c r="M2" s="71"/>
      <c r="N2" s="79">
        <f>Kalendriaasta</f>
        <v>2016</v>
      </c>
    </row>
    <row r="3" spans="1:14" ht="21" customHeight="1" x14ac:dyDescent="0.2">
      <c r="A3" s="4"/>
      <c r="B3" s="31" t="s">
        <v>22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17</v>
      </c>
      <c r="I3" s="2" t="s">
        <v>33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IF(DAY(OktP1)=1,OktP1-6,OktP1+1)</f>
        <v>42639</v>
      </c>
      <c r="D4" s="10">
        <f>IF(DAY(OktP1)=1,OktP1-5,OktP1+2)</f>
        <v>42640</v>
      </c>
      <c r="E4" s="10">
        <f>IF(DAY(OktP1)=1,OktP1-4,OktP1+3)</f>
        <v>42641</v>
      </c>
      <c r="F4" s="10">
        <f>IF(DAY(OktP1)=1,OktP1-3,OktP1+4)</f>
        <v>42642</v>
      </c>
      <c r="G4" s="10">
        <f>IF(DAY(OktP1)=1,OktP1-2,OktP1+5)</f>
        <v>42643</v>
      </c>
      <c r="H4" s="10">
        <f>IF(DAY(OktP1)=1,OktP1-1,OktP1+6)</f>
        <v>42644</v>
      </c>
      <c r="I4" s="10">
        <f>IF(DAY(OktP1)=1,OktP1,OktP1+7)</f>
        <v>42645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IF(DAY(OktP1)=1,OktP1+1,OktP1+8)</f>
        <v>42646</v>
      </c>
      <c r="D5" s="10">
        <f>IF(DAY(OktP1)=1,OktP1+2,OktP1+9)</f>
        <v>42647</v>
      </c>
      <c r="E5" s="10">
        <f>IF(DAY(OktP1)=1,OktP1+3,OktP1+10)</f>
        <v>42648</v>
      </c>
      <c r="F5" s="10">
        <f>IF(DAY(OktP1)=1,OktP1+4,OktP1+11)</f>
        <v>42649</v>
      </c>
      <c r="G5" s="10">
        <f>IF(DAY(OktP1)=1,OktP1+5,OktP1+12)</f>
        <v>42650</v>
      </c>
      <c r="H5" s="10">
        <f>IF(DAY(OktP1)=1,OktP1+6,OktP1+13)</f>
        <v>42651</v>
      </c>
      <c r="I5" s="10">
        <f>IF(DAY(OktP1)=1,OktP1+7,OktP1+14)</f>
        <v>42652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IF(DAY(OktP1)=1,OktP1+8,OktP1+15)</f>
        <v>42653</v>
      </c>
      <c r="D6" s="10">
        <f>IF(DAY(OktP1)=1,OktP1+9,OktP1+16)</f>
        <v>42654</v>
      </c>
      <c r="E6" s="10">
        <f>IF(DAY(OktP1)=1,OktP1+10,OktP1+17)</f>
        <v>42655</v>
      </c>
      <c r="F6" s="10">
        <f>IF(DAY(OktP1)=1,OktP1+11,OktP1+18)</f>
        <v>42656</v>
      </c>
      <c r="G6" s="10">
        <f>IF(DAY(OktP1)=1,OktP1+12,OktP1+19)</f>
        <v>42657</v>
      </c>
      <c r="H6" s="10">
        <f>IF(DAY(OktP1)=1,OktP1+13,OktP1+20)</f>
        <v>42658</v>
      </c>
      <c r="I6" s="10">
        <f>IF(DAY(OktP1)=1,OktP1+14,OktP1+21)</f>
        <v>42659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IF(DAY(OktP1)=1,OktP1+15,OktP1+22)</f>
        <v>42660</v>
      </c>
      <c r="D7" s="10">
        <f>IF(DAY(OktP1)=1,OktP1+16,OktP1+23)</f>
        <v>42661</v>
      </c>
      <c r="E7" s="10">
        <f>IF(DAY(OktP1)=1,OktP1+17,OktP1+24)</f>
        <v>42662</v>
      </c>
      <c r="F7" s="10">
        <f>IF(DAY(OktP1)=1,OktP1+18,OktP1+25)</f>
        <v>42663</v>
      </c>
      <c r="G7" s="10">
        <f>IF(DAY(OktP1)=1,OktP1+19,OktP1+26)</f>
        <v>42664</v>
      </c>
      <c r="H7" s="10">
        <f>IF(DAY(OktP1)=1,OktP1+20,OktP1+27)</f>
        <v>42665</v>
      </c>
      <c r="I7" s="10">
        <f>IF(DAY(OktP1)=1,OktP1+21,OktP1+28)</f>
        <v>42666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IF(DAY(OktP1)=1,OktP1+22,OktP1+29)</f>
        <v>42667</v>
      </c>
      <c r="D8" s="10">
        <f>IF(DAY(OktP1)=1,OktP1+23,OktP1+30)</f>
        <v>42668</v>
      </c>
      <c r="E8" s="10">
        <f>IF(DAY(OktP1)=1,OktP1+24,OktP1+31)</f>
        <v>42669</v>
      </c>
      <c r="F8" s="10">
        <f>IF(DAY(OktP1)=1,OktP1+25,OktP1+32)</f>
        <v>42670</v>
      </c>
      <c r="G8" s="10">
        <f>IF(DAY(OktP1)=1,OktP1+26,OktP1+33)</f>
        <v>42671</v>
      </c>
      <c r="H8" s="10">
        <f>IF(DAY(OktP1)=1,OktP1+27,OktP1+34)</f>
        <v>42672</v>
      </c>
      <c r="I8" s="10">
        <f>IF(DAY(OktP1)=1,OktP1+28,OktP1+35)</f>
        <v>42673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IF(DAY(OktP1)=1,OktP1+29,OktP1+36)</f>
        <v>42674</v>
      </c>
      <c r="D9" s="10">
        <f>IF(DAY(OktP1)=1,OktP1+30,OktP1+37)</f>
        <v>42675</v>
      </c>
      <c r="E9" s="10">
        <f>IF(DAY(OktP1)=1,OktP1+31,OktP1+38)</f>
        <v>42676</v>
      </c>
      <c r="F9" s="10">
        <f>IF(DAY(OktP1)=1,OktP1+32,OktP1+39)</f>
        <v>42677</v>
      </c>
      <c r="G9" s="10">
        <f>IF(DAY(OktP1)=1,OktP1+33,OktP1+40)</f>
        <v>42678</v>
      </c>
      <c r="H9" s="10">
        <f>IF(DAY(OktP1)=1,OktP1+34,OktP1+41)</f>
        <v>42679</v>
      </c>
      <c r="I9" s="10">
        <f>IF(DAY(OktP1)=1,OktP1+35,OktP1+42)</f>
        <v>42680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9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9</v>
      </c>
      <c r="D13" s="69"/>
      <c r="E13" s="67" t="s">
        <v>14</v>
      </c>
      <c r="F13" s="69"/>
      <c r="G13" s="67" t="s">
        <v>15</v>
      </c>
      <c r="H13" s="69"/>
      <c r="I13" s="67" t="s">
        <v>16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10</v>
      </c>
      <c r="D16" s="45"/>
      <c r="E16" s="44"/>
      <c r="F16" s="45"/>
      <c r="G16" s="44" t="s">
        <v>10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11</v>
      </c>
      <c r="D17" s="47"/>
      <c r="E17" s="46"/>
      <c r="F17" s="47"/>
      <c r="G17" s="46" t="s">
        <v>11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15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12</v>
      </c>
      <c r="D30" s="45"/>
      <c r="E30" s="44"/>
      <c r="F30" s="45"/>
      <c r="G30" s="44" t="s">
        <v>12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13</v>
      </c>
      <c r="D31" s="47"/>
      <c r="E31" s="46"/>
      <c r="F31" s="47"/>
      <c r="G31" s="46" t="s">
        <v>13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7" priority="3" stopIfTrue="1">
      <formula>DAY(C4)&gt;8</formula>
    </cfRule>
  </conditionalFormatting>
  <conditionalFormatting sqref="C8:I10">
    <cfRule type="expression" dxfId="16" priority="2" stopIfTrue="1">
      <formula>AND(DAY(C8)&gt;=1,DAY(C8)&lt;=15)</formula>
    </cfRule>
  </conditionalFormatting>
  <conditionalFormatting sqref="C4:I9">
    <cfRule type="expression" dxfId="2" priority="4">
      <formula>VLOOKUP(DAY(C4),ÜlesannePäevad,1,FALSE)=DAY(C4)</formula>
    </cfRule>
  </conditionalFormatting>
  <conditionalFormatting sqref="B14:J33">
    <cfRule type="expression" dxfId="15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7.7109375" style="1" customWidth="1"/>
    <col min="3" max="10" width="9.285156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18</v>
      </c>
      <c r="L2" s="71">
        <v>2013</v>
      </c>
      <c r="M2" s="71"/>
      <c r="N2" s="79">
        <f>Kalendriaasta</f>
        <v>2016</v>
      </c>
    </row>
    <row r="3" spans="1:14" ht="21" customHeight="1" x14ac:dyDescent="0.2">
      <c r="A3" s="4"/>
      <c r="B3" s="31" t="s">
        <v>23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17</v>
      </c>
      <c r="I3" s="2" t="s">
        <v>33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IF(DAY(NovP1)=1,NovP1-6,NovP1+1)</f>
        <v>42674</v>
      </c>
      <c r="D4" s="10">
        <f>IF(DAY(NovP1)=1,NovP1-5,NovP1+2)</f>
        <v>42675</v>
      </c>
      <c r="E4" s="10">
        <f>IF(DAY(NovP1)=1,NovP1-4,NovP1+3)</f>
        <v>42676</v>
      </c>
      <c r="F4" s="10">
        <f>IF(DAY(NovP1)=1,NovP1-3,NovP1+4)</f>
        <v>42677</v>
      </c>
      <c r="G4" s="10">
        <f>IF(DAY(NovP1)=1,NovP1-2,NovP1+5)</f>
        <v>42678</v>
      </c>
      <c r="H4" s="10">
        <f>IF(DAY(NovP1)=1,NovP1-1,NovP1+6)</f>
        <v>42679</v>
      </c>
      <c r="I4" s="10">
        <f>IF(DAY(NovP1)=1,NovP1,NovP1+7)</f>
        <v>42680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IF(DAY(NovP1)=1,NovP1+1,NovP1+8)</f>
        <v>42681</v>
      </c>
      <c r="D5" s="10">
        <f>IF(DAY(NovP1)=1,NovP1+2,NovP1+9)</f>
        <v>42682</v>
      </c>
      <c r="E5" s="10">
        <f>IF(DAY(NovP1)=1,NovP1+3,NovP1+10)</f>
        <v>42683</v>
      </c>
      <c r="F5" s="10">
        <f>IF(DAY(NovP1)=1,NovP1+4,NovP1+11)</f>
        <v>42684</v>
      </c>
      <c r="G5" s="10">
        <f>IF(DAY(NovP1)=1,NovP1+5,NovP1+12)</f>
        <v>42685</v>
      </c>
      <c r="H5" s="10">
        <f>IF(DAY(NovP1)=1,NovP1+6,NovP1+13)</f>
        <v>42686</v>
      </c>
      <c r="I5" s="10">
        <f>IF(DAY(NovP1)=1,NovP1+7,NovP1+14)</f>
        <v>42687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IF(DAY(NovP1)=1,NovP1+8,NovP1+15)</f>
        <v>42688</v>
      </c>
      <c r="D6" s="10">
        <f>IF(DAY(NovP1)=1,NovP1+9,NovP1+16)</f>
        <v>42689</v>
      </c>
      <c r="E6" s="10">
        <f>IF(DAY(NovP1)=1,NovP1+10,NovP1+17)</f>
        <v>42690</v>
      </c>
      <c r="F6" s="10">
        <f>IF(DAY(NovP1)=1,NovP1+11,NovP1+18)</f>
        <v>42691</v>
      </c>
      <c r="G6" s="10">
        <f>IF(DAY(NovP1)=1,NovP1+12,NovP1+19)</f>
        <v>42692</v>
      </c>
      <c r="H6" s="10">
        <f>IF(DAY(NovP1)=1,NovP1+13,NovP1+20)</f>
        <v>42693</v>
      </c>
      <c r="I6" s="10">
        <f>IF(DAY(NovP1)=1,NovP1+14,NovP1+21)</f>
        <v>42694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IF(DAY(NovP1)=1,NovP1+15,NovP1+22)</f>
        <v>42695</v>
      </c>
      <c r="D7" s="10">
        <f>IF(DAY(NovP1)=1,NovP1+16,NovP1+23)</f>
        <v>42696</v>
      </c>
      <c r="E7" s="10">
        <f>IF(DAY(NovP1)=1,NovP1+17,NovP1+24)</f>
        <v>42697</v>
      </c>
      <c r="F7" s="10">
        <f>IF(DAY(NovP1)=1,NovP1+18,NovP1+25)</f>
        <v>42698</v>
      </c>
      <c r="G7" s="10">
        <f>IF(DAY(NovP1)=1,NovP1+19,NovP1+26)</f>
        <v>42699</v>
      </c>
      <c r="H7" s="10">
        <f>IF(DAY(NovP1)=1,NovP1+20,NovP1+27)</f>
        <v>42700</v>
      </c>
      <c r="I7" s="10">
        <f>IF(DAY(NovP1)=1,NovP1+21,NovP1+28)</f>
        <v>42701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IF(DAY(NovP1)=1,NovP1+22,NovP1+29)</f>
        <v>42702</v>
      </c>
      <c r="D8" s="10">
        <f>IF(DAY(NovP1)=1,NovP1+23,NovP1+30)</f>
        <v>42703</v>
      </c>
      <c r="E8" s="10">
        <f>IF(DAY(NovP1)=1,NovP1+24,NovP1+31)</f>
        <v>42704</v>
      </c>
      <c r="F8" s="10">
        <f>IF(DAY(NovP1)=1,NovP1+25,NovP1+32)</f>
        <v>42705</v>
      </c>
      <c r="G8" s="10">
        <f>IF(DAY(NovP1)=1,NovP1+26,NovP1+33)</f>
        <v>42706</v>
      </c>
      <c r="H8" s="10">
        <f>IF(DAY(NovP1)=1,NovP1+27,NovP1+34)</f>
        <v>42707</v>
      </c>
      <c r="I8" s="10">
        <f>IF(DAY(NovP1)=1,NovP1+28,NovP1+35)</f>
        <v>42708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IF(DAY(NovP1)=1,NovP1+29,NovP1+36)</f>
        <v>42709</v>
      </c>
      <c r="D9" s="10">
        <f>IF(DAY(NovP1)=1,NovP1+30,NovP1+37)</f>
        <v>42710</v>
      </c>
      <c r="E9" s="10">
        <f>IF(DAY(NovP1)=1,NovP1+31,NovP1+38)</f>
        <v>42711</v>
      </c>
      <c r="F9" s="10">
        <f>IF(DAY(NovP1)=1,NovP1+32,NovP1+39)</f>
        <v>42712</v>
      </c>
      <c r="G9" s="10">
        <f>IF(DAY(NovP1)=1,NovP1+33,NovP1+40)</f>
        <v>42713</v>
      </c>
      <c r="H9" s="10">
        <f>IF(DAY(NovP1)=1,NovP1+34,NovP1+41)</f>
        <v>42714</v>
      </c>
      <c r="I9" s="10">
        <f>IF(DAY(NovP1)=1,NovP1+35,NovP1+42)</f>
        <v>42715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9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9</v>
      </c>
      <c r="D13" s="69"/>
      <c r="E13" s="67" t="s">
        <v>14</v>
      </c>
      <c r="F13" s="69"/>
      <c r="G13" s="67" t="s">
        <v>15</v>
      </c>
      <c r="H13" s="69"/>
      <c r="I13" s="67" t="s">
        <v>16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10</v>
      </c>
      <c r="D16" s="45"/>
      <c r="E16" s="44"/>
      <c r="F16" s="45"/>
      <c r="G16" s="44" t="s">
        <v>10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11</v>
      </c>
      <c r="D17" s="47"/>
      <c r="E17" s="46"/>
      <c r="F17" s="47"/>
      <c r="G17" s="46" t="s">
        <v>11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15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12</v>
      </c>
      <c r="D30" s="45"/>
      <c r="E30" s="44"/>
      <c r="F30" s="45"/>
      <c r="G30" s="44" t="s">
        <v>12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13</v>
      </c>
      <c r="D31" s="47"/>
      <c r="E31" s="46"/>
      <c r="F31" s="47"/>
      <c r="G31" s="46" t="s">
        <v>13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4" priority="3" stopIfTrue="1">
      <formula>DAY(C4)&gt;8</formula>
    </cfRule>
  </conditionalFormatting>
  <conditionalFormatting sqref="C8:I10">
    <cfRule type="expression" dxfId="13" priority="2" stopIfTrue="1">
      <formula>AND(DAY(C8)&gt;=1,DAY(C8)&lt;=15)</formula>
    </cfRule>
  </conditionalFormatting>
  <conditionalFormatting sqref="C4:I9">
    <cfRule type="expression" dxfId="1" priority="4">
      <formula>VLOOKUP(DAY(C4),ÜlesannePäevad,1,FALSE)=DAY(C4)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7.7109375" style="1" customWidth="1"/>
    <col min="3" max="10" width="9.285156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18</v>
      </c>
      <c r="L2" s="71">
        <v>2013</v>
      </c>
      <c r="M2" s="71"/>
      <c r="N2" s="79">
        <f>Kalendriaasta</f>
        <v>2016</v>
      </c>
    </row>
    <row r="3" spans="1:14" ht="21" customHeight="1" x14ac:dyDescent="0.2">
      <c r="A3" s="4"/>
      <c r="B3" s="31" t="s">
        <v>24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17</v>
      </c>
      <c r="I3" s="2" t="s">
        <v>33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IF(DAY(DetsP1)=1,DetsP1-6,DetsP1+1)</f>
        <v>42702</v>
      </c>
      <c r="D4" s="10">
        <f>IF(DAY(DetsP1)=1,DetsP1-5,DetsP1+2)</f>
        <v>42703</v>
      </c>
      <c r="E4" s="10">
        <f>IF(DAY(DetsP1)=1,DetsP1-4,DetsP1+3)</f>
        <v>42704</v>
      </c>
      <c r="F4" s="10">
        <f>IF(DAY(DetsP1)=1,DetsP1-3,DetsP1+4)</f>
        <v>42705</v>
      </c>
      <c r="G4" s="10">
        <f>IF(DAY(DetsP1)=1,DetsP1-2,DetsP1+5)</f>
        <v>42706</v>
      </c>
      <c r="H4" s="10">
        <f>IF(DAY(DetsP1)=1,DetsP1-1,DetsP1+6)</f>
        <v>42707</v>
      </c>
      <c r="I4" s="10">
        <f>IF(DAY(DetsP1)=1,DetsP1,DetsP1+7)</f>
        <v>42708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IF(DAY(DetsP1)=1,DetsP1+1,DetsP1+8)</f>
        <v>42709</v>
      </c>
      <c r="D5" s="10">
        <f>IF(DAY(DetsP1)=1,DetsP1+2,DetsP1+9)</f>
        <v>42710</v>
      </c>
      <c r="E5" s="10">
        <f>IF(DAY(DetsP1)=1,DetsP1+3,DetsP1+10)</f>
        <v>42711</v>
      </c>
      <c r="F5" s="10">
        <f>IF(DAY(DetsP1)=1,DetsP1+4,DetsP1+11)</f>
        <v>42712</v>
      </c>
      <c r="G5" s="10">
        <f>IF(DAY(DetsP1)=1,DetsP1+5,DetsP1+12)</f>
        <v>42713</v>
      </c>
      <c r="H5" s="10">
        <f>IF(DAY(DetsP1)=1,DetsP1+6,DetsP1+13)</f>
        <v>42714</v>
      </c>
      <c r="I5" s="10">
        <f>IF(DAY(DetsP1)=1,DetsP1+7,DetsP1+14)</f>
        <v>42715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IF(DAY(DetsP1)=1,DetsP1+8,DetsP1+15)</f>
        <v>42716</v>
      </c>
      <c r="D6" s="10">
        <f>IF(DAY(DetsP1)=1,DetsP1+9,DetsP1+16)</f>
        <v>42717</v>
      </c>
      <c r="E6" s="10">
        <f>IF(DAY(DetsP1)=1,DetsP1+10,DetsP1+17)</f>
        <v>42718</v>
      </c>
      <c r="F6" s="10">
        <f>IF(DAY(DetsP1)=1,DetsP1+11,DetsP1+18)</f>
        <v>42719</v>
      </c>
      <c r="G6" s="10">
        <f>IF(DAY(DetsP1)=1,DetsP1+12,DetsP1+19)</f>
        <v>42720</v>
      </c>
      <c r="H6" s="10">
        <f>IF(DAY(DetsP1)=1,DetsP1+13,DetsP1+20)</f>
        <v>42721</v>
      </c>
      <c r="I6" s="10">
        <f>IF(DAY(DetsP1)=1,DetsP1+14,DetsP1+21)</f>
        <v>42722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IF(DAY(DetsP1)=1,DetsP1+15,DetsP1+22)</f>
        <v>42723</v>
      </c>
      <c r="D7" s="10">
        <f>IF(DAY(DetsP1)=1,DetsP1+16,DetsP1+23)</f>
        <v>42724</v>
      </c>
      <c r="E7" s="10">
        <f>IF(DAY(DetsP1)=1,DetsP1+17,DetsP1+24)</f>
        <v>42725</v>
      </c>
      <c r="F7" s="10">
        <f>IF(DAY(DetsP1)=1,DetsP1+18,DetsP1+25)</f>
        <v>42726</v>
      </c>
      <c r="G7" s="10">
        <f>IF(DAY(DetsP1)=1,DetsP1+19,DetsP1+26)</f>
        <v>42727</v>
      </c>
      <c r="H7" s="10">
        <f>IF(DAY(DetsP1)=1,DetsP1+20,DetsP1+27)</f>
        <v>42728</v>
      </c>
      <c r="I7" s="10">
        <f>IF(DAY(DetsP1)=1,DetsP1+21,DetsP1+28)</f>
        <v>42729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IF(DAY(DetsP1)=1,DetsP1+22,DetsP1+29)</f>
        <v>42730</v>
      </c>
      <c r="D8" s="10">
        <f>IF(DAY(DetsP1)=1,DetsP1+23,DetsP1+30)</f>
        <v>42731</v>
      </c>
      <c r="E8" s="10">
        <f>IF(DAY(DetsP1)=1,DetsP1+24,DetsP1+31)</f>
        <v>42732</v>
      </c>
      <c r="F8" s="10">
        <f>IF(DAY(DetsP1)=1,DetsP1+25,DetsP1+32)</f>
        <v>42733</v>
      </c>
      <c r="G8" s="10">
        <f>IF(DAY(DetsP1)=1,DetsP1+26,DetsP1+33)</f>
        <v>42734</v>
      </c>
      <c r="H8" s="10">
        <f>IF(DAY(DetsP1)=1,DetsP1+27,DetsP1+34)</f>
        <v>42735</v>
      </c>
      <c r="I8" s="10">
        <f>IF(DAY(DetsP1)=1,DetsP1+28,DetsP1+35)</f>
        <v>42736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IF(DAY(DetsP1)=1,DetsP1+29,DetsP1+36)</f>
        <v>42737</v>
      </c>
      <c r="D9" s="10">
        <f>IF(DAY(DetsP1)=1,DetsP1+30,DetsP1+37)</f>
        <v>42738</v>
      </c>
      <c r="E9" s="10">
        <f>IF(DAY(DetsP1)=1,DetsP1+31,DetsP1+38)</f>
        <v>42739</v>
      </c>
      <c r="F9" s="10">
        <f>IF(DAY(DetsP1)=1,DetsP1+32,DetsP1+39)</f>
        <v>42740</v>
      </c>
      <c r="G9" s="10">
        <f>IF(DAY(DetsP1)=1,DetsP1+33,DetsP1+40)</f>
        <v>42741</v>
      </c>
      <c r="H9" s="10">
        <f>IF(DAY(DetsP1)=1,DetsP1+34,DetsP1+41)</f>
        <v>42742</v>
      </c>
      <c r="I9" s="10">
        <f>IF(DAY(DetsP1)=1,DetsP1+35,DetsP1+42)</f>
        <v>42743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9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9</v>
      </c>
      <c r="D13" s="69"/>
      <c r="E13" s="67" t="s">
        <v>14</v>
      </c>
      <c r="F13" s="69"/>
      <c r="G13" s="67" t="s">
        <v>15</v>
      </c>
      <c r="H13" s="69"/>
      <c r="I13" s="67" t="s">
        <v>16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10</v>
      </c>
      <c r="D16" s="45"/>
      <c r="E16" s="44"/>
      <c r="F16" s="45"/>
      <c r="G16" s="44" t="s">
        <v>10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11</v>
      </c>
      <c r="D17" s="47"/>
      <c r="E17" s="46"/>
      <c r="F17" s="47"/>
      <c r="G17" s="46" t="s">
        <v>11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15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12</v>
      </c>
      <c r="D30" s="45"/>
      <c r="E30" s="44"/>
      <c r="F30" s="45"/>
      <c r="G30" s="44" t="s">
        <v>12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13</v>
      </c>
      <c r="D31" s="47"/>
      <c r="E31" s="46"/>
      <c r="F31" s="47"/>
      <c r="G31" s="46" t="s">
        <v>13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0" priority="4">
      <formula>VLOOKUP(DAY(C4),ÜlesannePäevad,1,FALSE)=DAY(C4)</formula>
    </cfRule>
  </conditionalFormatting>
  <conditionalFormatting sqref="B14:J33">
    <cfRule type="expression" dxfId="9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7.7109375" style="1" customWidth="1"/>
    <col min="3" max="10" width="9.285156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18</v>
      </c>
      <c r="L2" s="71">
        <v>2013</v>
      </c>
      <c r="M2" s="71"/>
      <c r="N2" s="79">
        <f>Kalendriaasta</f>
        <v>2016</v>
      </c>
    </row>
    <row r="3" spans="1:14" ht="21" customHeight="1" x14ac:dyDescent="0.2">
      <c r="A3" s="4"/>
      <c r="B3" s="31" t="s">
        <v>25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17</v>
      </c>
      <c r="I3" s="2" t="s">
        <v>33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IF(DAY(VeebrP1)=1,VeebrP1-6,VeebrP1+1)</f>
        <v>42401</v>
      </c>
      <c r="D4" s="10">
        <f>IF(DAY(VeebrP1)=1,VeebrP1-5,VeebrP1+2)</f>
        <v>42402</v>
      </c>
      <c r="E4" s="10">
        <f>IF(DAY(VeebrP1)=1,VeebrP1-4,VeebrP1+3)</f>
        <v>42403</v>
      </c>
      <c r="F4" s="10">
        <f>IF(DAY(VeebrP1)=1,VeebrP1-3,VeebrP1+4)</f>
        <v>42404</v>
      </c>
      <c r="G4" s="10">
        <f>IF(DAY(VeebrP1)=1,VeebrP1-2,VeebrP1+5)</f>
        <v>42405</v>
      </c>
      <c r="H4" s="10">
        <f>IF(DAY(VeebrP1)=1,VeebrP1-1,VeebrP1+6)</f>
        <v>42406</v>
      </c>
      <c r="I4" s="10">
        <f>IF(DAY(VeebrP1)=1,VeebrP1,VeebrP1+7)</f>
        <v>42407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IF(DAY(VeebrP1)=1,VeebrP1+1,VeebrP1+8)</f>
        <v>42408</v>
      </c>
      <c r="D5" s="10">
        <f>IF(DAY(VeebrP1)=1,VeebrP1+2,VeebrP1+9)</f>
        <v>42409</v>
      </c>
      <c r="E5" s="10">
        <f>IF(DAY(VeebrP1)=1,VeebrP1+3,VeebrP1+10)</f>
        <v>42410</v>
      </c>
      <c r="F5" s="10">
        <f>IF(DAY(VeebrP1)=1,VeebrP1+4,VeebrP1+11)</f>
        <v>42411</v>
      </c>
      <c r="G5" s="10">
        <f>IF(DAY(VeebrP1)=1,VeebrP1+5,VeebrP1+12)</f>
        <v>42412</v>
      </c>
      <c r="H5" s="10">
        <f>IF(DAY(VeebrP1)=1,VeebrP1+6,VeebrP1+13)</f>
        <v>42413</v>
      </c>
      <c r="I5" s="10">
        <f>IF(DAY(VeebrP1)=1,VeebrP1+7,VeebrP1+14)</f>
        <v>42414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IF(DAY(VeebrP1)=1,VeebrP1+8,VeebrP1+15)</f>
        <v>42415</v>
      </c>
      <c r="D6" s="10">
        <f>IF(DAY(VeebrP1)=1,VeebrP1+9,VeebrP1+16)</f>
        <v>42416</v>
      </c>
      <c r="E6" s="10">
        <f>IF(DAY(VeebrP1)=1,VeebrP1+10,VeebrP1+17)</f>
        <v>42417</v>
      </c>
      <c r="F6" s="10">
        <f>IF(DAY(VeebrP1)=1,VeebrP1+11,VeebrP1+18)</f>
        <v>42418</v>
      </c>
      <c r="G6" s="10">
        <f>IF(DAY(VeebrP1)=1,VeebrP1+12,VeebrP1+19)</f>
        <v>42419</v>
      </c>
      <c r="H6" s="10">
        <f>IF(DAY(VeebrP1)=1,VeebrP1+13,VeebrP1+20)</f>
        <v>42420</v>
      </c>
      <c r="I6" s="10">
        <f>IF(DAY(VeebrP1)=1,VeebrP1+14,VeebrP1+21)</f>
        <v>42421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IF(DAY(VeebrP1)=1,VeebrP1+15,VeebrP1+22)</f>
        <v>42422</v>
      </c>
      <c r="D7" s="10">
        <f>IF(DAY(VeebrP1)=1,VeebrP1+16,VeebrP1+23)</f>
        <v>42423</v>
      </c>
      <c r="E7" s="10">
        <f>IF(DAY(VeebrP1)=1,VeebrP1+17,VeebrP1+24)</f>
        <v>42424</v>
      </c>
      <c r="F7" s="10">
        <f>IF(DAY(VeebrP1)=1,VeebrP1+18,VeebrP1+25)</f>
        <v>42425</v>
      </c>
      <c r="G7" s="10">
        <f>IF(DAY(VeebrP1)=1,VeebrP1+19,VeebrP1+26)</f>
        <v>42426</v>
      </c>
      <c r="H7" s="10">
        <f>IF(DAY(VeebrP1)=1,VeebrP1+20,VeebrP1+27)</f>
        <v>42427</v>
      </c>
      <c r="I7" s="10">
        <f>IF(DAY(VeebrP1)=1,VeebrP1+21,VeebrP1+28)</f>
        <v>42428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IF(DAY(VeebrP1)=1,VeebrP1+22,VeebrP1+29)</f>
        <v>42429</v>
      </c>
      <c r="D8" s="10">
        <f>IF(DAY(VeebrP1)=1,VeebrP1+23,VeebrP1+30)</f>
        <v>42430</v>
      </c>
      <c r="E8" s="10">
        <f>IF(DAY(VeebrP1)=1,VeebrP1+24,VeebrP1+31)</f>
        <v>42431</v>
      </c>
      <c r="F8" s="10">
        <f>IF(DAY(VeebrP1)=1,VeebrP1+25,VeebrP1+32)</f>
        <v>42432</v>
      </c>
      <c r="G8" s="10">
        <f>IF(DAY(VeebrP1)=1,VeebrP1+26,VeebrP1+33)</f>
        <v>42433</v>
      </c>
      <c r="H8" s="10">
        <f>IF(DAY(VeebrP1)=1,VeebrP1+27,VeebrP1+34)</f>
        <v>42434</v>
      </c>
      <c r="I8" s="10">
        <f>IF(DAY(VeebrP1)=1,VeebrP1+28,VeebrP1+35)</f>
        <v>42435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IF(DAY(VeebrP1)=1,VeebrP1+29,VeebrP1+36)</f>
        <v>42436</v>
      </c>
      <c r="D9" s="10">
        <f>IF(DAY(VeebrP1)=1,VeebrP1+30,VeebrP1+37)</f>
        <v>42437</v>
      </c>
      <c r="E9" s="10">
        <f>IF(DAY(VeebrP1)=1,VeebrP1+31,VeebrP1+38)</f>
        <v>42438</v>
      </c>
      <c r="F9" s="10">
        <f>IF(DAY(VeebrP1)=1,VeebrP1+32,VeebrP1+39)</f>
        <v>42439</v>
      </c>
      <c r="G9" s="10">
        <f>IF(DAY(VeebrP1)=1,VeebrP1+33,VeebrP1+40)</f>
        <v>42440</v>
      </c>
      <c r="H9" s="10">
        <f>IF(DAY(VeebrP1)=1,VeebrP1+34,VeebrP1+41)</f>
        <v>42441</v>
      </c>
      <c r="I9" s="10">
        <f>IF(DAY(VeebrP1)=1,VeebrP1+35,VeebrP1+42)</f>
        <v>42442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9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9</v>
      </c>
      <c r="D13" s="69"/>
      <c r="E13" s="67" t="s">
        <v>14</v>
      </c>
      <c r="F13" s="69"/>
      <c r="G13" s="67" t="s">
        <v>15</v>
      </c>
      <c r="H13" s="69"/>
      <c r="I13" s="67" t="s">
        <v>16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10</v>
      </c>
      <c r="D16" s="45"/>
      <c r="E16" s="44"/>
      <c r="F16" s="45"/>
      <c r="G16" s="44" t="s">
        <v>10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11</v>
      </c>
      <c r="D17" s="47"/>
      <c r="E17" s="46"/>
      <c r="F17" s="47"/>
      <c r="G17" s="46" t="s">
        <v>11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15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12</v>
      </c>
      <c r="D30" s="45"/>
      <c r="E30" s="44"/>
      <c r="F30" s="45"/>
      <c r="G30" s="44" t="s">
        <v>12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13</v>
      </c>
      <c r="D31" s="47"/>
      <c r="E31" s="46"/>
      <c r="F31" s="47"/>
      <c r="G31" s="46" t="s">
        <v>13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0" priority="4">
      <formula>VLOOKUP(DAY(C4),ÜlesannePäevad,1,FALSE)=DAY(C4)</formula>
    </cfRule>
  </conditionalFormatting>
  <conditionalFormatting sqref="B14:J33">
    <cfRule type="expression" dxfId="41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7.7109375" style="1" customWidth="1"/>
    <col min="3" max="10" width="9.285156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18</v>
      </c>
      <c r="L2" s="71">
        <v>2013</v>
      </c>
      <c r="M2" s="71"/>
      <c r="N2" s="79">
        <f>Kalendriaasta</f>
        <v>2016</v>
      </c>
    </row>
    <row r="3" spans="1:14" ht="21" customHeight="1" x14ac:dyDescent="0.2">
      <c r="A3" s="4"/>
      <c r="B3" s="31" t="s">
        <v>26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17</v>
      </c>
      <c r="I3" s="2" t="s">
        <v>33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IF(DAY(MärtsP1)=1,MärtsP1-6,MärtsP1+1)</f>
        <v>42429</v>
      </c>
      <c r="D4" s="10">
        <f>IF(DAY(MärtsP1)=1,MärtsP1-5,MärtsP1+2)</f>
        <v>42430</v>
      </c>
      <c r="E4" s="10">
        <f>IF(DAY(MärtsP1)=1,MärtsP1-4,MärtsP1+3)</f>
        <v>42431</v>
      </c>
      <c r="F4" s="10">
        <f>IF(DAY(MärtsP1)=1,MärtsP1-3,MärtsP1+4)</f>
        <v>42432</v>
      </c>
      <c r="G4" s="10">
        <f>IF(DAY(MärtsP1)=1,MärtsP1-2,MärtsP1+5)</f>
        <v>42433</v>
      </c>
      <c r="H4" s="10">
        <f>IF(DAY(MärtsP1)=1,MärtsP1-1,MärtsP1+6)</f>
        <v>42434</v>
      </c>
      <c r="I4" s="10">
        <f>IF(DAY(MärtsP1)=1,MärtsP1,MärtsP1+7)</f>
        <v>42435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IF(DAY(MärtsP1)=1,MärtsP1+1,MärtsP1+8)</f>
        <v>42436</v>
      </c>
      <c r="D5" s="10">
        <f>IF(DAY(MärtsP1)=1,MärtsP1+2,MärtsP1+9)</f>
        <v>42437</v>
      </c>
      <c r="E5" s="10">
        <f>IF(DAY(MärtsP1)=1,MärtsP1+3,MärtsP1+10)</f>
        <v>42438</v>
      </c>
      <c r="F5" s="10">
        <f>IF(DAY(MärtsP1)=1,MärtsP1+4,MärtsP1+11)</f>
        <v>42439</v>
      </c>
      <c r="G5" s="10">
        <f>IF(DAY(MärtsP1)=1,MärtsP1+5,MärtsP1+12)</f>
        <v>42440</v>
      </c>
      <c r="H5" s="10">
        <f>IF(DAY(MärtsP1)=1,MärtsP1+6,MärtsP1+13)</f>
        <v>42441</v>
      </c>
      <c r="I5" s="10">
        <f>IF(DAY(MärtsP1)=1,MärtsP1+7,MärtsP1+14)</f>
        <v>42442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IF(DAY(MärtsP1)=1,MärtsP1+8,MärtsP1+15)</f>
        <v>42443</v>
      </c>
      <c r="D6" s="10">
        <f>IF(DAY(MärtsP1)=1,MärtsP1+9,MärtsP1+16)</f>
        <v>42444</v>
      </c>
      <c r="E6" s="10">
        <f>IF(DAY(MärtsP1)=1,MärtsP1+10,MärtsP1+17)</f>
        <v>42445</v>
      </c>
      <c r="F6" s="10">
        <f>IF(DAY(MärtsP1)=1,MärtsP1+11,MärtsP1+18)</f>
        <v>42446</v>
      </c>
      <c r="G6" s="10">
        <f>IF(DAY(MärtsP1)=1,MärtsP1+12,MärtsP1+19)</f>
        <v>42447</v>
      </c>
      <c r="H6" s="10">
        <f>IF(DAY(MärtsP1)=1,MärtsP1+13,MärtsP1+20)</f>
        <v>42448</v>
      </c>
      <c r="I6" s="10">
        <f>IF(DAY(MärtsP1)=1,MärtsP1+14,MärtsP1+21)</f>
        <v>42449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IF(DAY(MärtsP1)=1,MärtsP1+15,MärtsP1+22)</f>
        <v>42450</v>
      </c>
      <c r="D7" s="10">
        <f>IF(DAY(MärtsP1)=1,MärtsP1+16,MärtsP1+23)</f>
        <v>42451</v>
      </c>
      <c r="E7" s="10">
        <f>IF(DAY(MärtsP1)=1,MärtsP1+17,MärtsP1+24)</f>
        <v>42452</v>
      </c>
      <c r="F7" s="10">
        <f>IF(DAY(MärtsP1)=1,MärtsP1+18,MärtsP1+25)</f>
        <v>42453</v>
      </c>
      <c r="G7" s="10">
        <f>IF(DAY(MärtsP1)=1,MärtsP1+19,MärtsP1+26)</f>
        <v>42454</v>
      </c>
      <c r="H7" s="10">
        <f>IF(DAY(MärtsP1)=1,MärtsP1+20,MärtsP1+27)</f>
        <v>42455</v>
      </c>
      <c r="I7" s="10">
        <f>IF(DAY(MärtsP1)=1,MärtsP1+21,MärtsP1+28)</f>
        <v>42456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IF(DAY(MärtsP1)=1,MärtsP1+22,MärtsP1+29)</f>
        <v>42457</v>
      </c>
      <c r="D8" s="10">
        <f>IF(DAY(MärtsP1)=1,MärtsP1+23,MärtsP1+30)</f>
        <v>42458</v>
      </c>
      <c r="E8" s="10">
        <f>IF(DAY(MärtsP1)=1,MärtsP1+24,MärtsP1+31)</f>
        <v>42459</v>
      </c>
      <c r="F8" s="10">
        <f>IF(DAY(MärtsP1)=1,MärtsP1+25,MärtsP1+32)</f>
        <v>42460</v>
      </c>
      <c r="G8" s="10">
        <f>IF(DAY(MärtsP1)=1,MärtsP1+26,MärtsP1+33)</f>
        <v>42461</v>
      </c>
      <c r="H8" s="10">
        <f>IF(DAY(MärtsP1)=1,MärtsP1+27,MärtsP1+34)</f>
        <v>42462</v>
      </c>
      <c r="I8" s="10">
        <f>IF(DAY(MärtsP1)=1,MärtsP1+28,MärtsP1+35)</f>
        <v>42463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IF(DAY(MärtsP1)=1,MärtsP1+29,MärtsP1+36)</f>
        <v>42464</v>
      </c>
      <c r="D9" s="10">
        <f>IF(DAY(MärtsP1)=1,MärtsP1+30,MärtsP1+37)</f>
        <v>42465</v>
      </c>
      <c r="E9" s="10">
        <f>IF(DAY(MärtsP1)=1,MärtsP1+31,MärtsP1+38)</f>
        <v>42466</v>
      </c>
      <c r="F9" s="10">
        <f>IF(DAY(MärtsP1)=1,MärtsP1+32,MärtsP1+39)</f>
        <v>42467</v>
      </c>
      <c r="G9" s="10">
        <f>IF(DAY(MärtsP1)=1,MärtsP1+33,MärtsP1+40)</f>
        <v>42468</v>
      </c>
      <c r="H9" s="10">
        <f>IF(DAY(MärtsP1)=1,MärtsP1+34,MärtsP1+41)</f>
        <v>42469</v>
      </c>
      <c r="I9" s="10">
        <f>IF(DAY(MärtsP1)=1,MärtsP1+35,MärtsP1+42)</f>
        <v>42470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9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9</v>
      </c>
      <c r="D13" s="69"/>
      <c r="E13" s="67" t="s">
        <v>14</v>
      </c>
      <c r="F13" s="69"/>
      <c r="G13" s="67" t="s">
        <v>15</v>
      </c>
      <c r="H13" s="69"/>
      <c r="I13" s="67" t="s">
        <v>16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10</v>
      </c>
      <c r="D16" s="45"/>
      <c r="E16" s="44"/>
      <c r="F16" s="45"/>
      <c r="G16" s="44" t="s">
        <v>10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11</v>
      </c>
      <c r="D17" s="47"/>
      <c r="E17" s="46"/>
      <c r="F17" s="47"/>
      <c r="G17" s="46" t="s">
        <v>11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15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12</v>
      </c>
      <c r="D30" s="45"/>
      <c r="E30" s="44"/>
      <c r="F30" s="45"/>
      <c r="G30" s="44" t="s">
        <v>12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13</v>
      </c>
      <c r="D31" s="47"/>
      <c r="E31" s="46"/>
      <c r="F31" s="47"/>
      <c r="G31" s="46" t="s">
        <v>13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6" priority="4">
      <formula>VLOOKUP(DAY(C4),ÜlesannePäevad,1,FALSE)=DAY(C4)</formula>
    </cfRule>
  </conditionalFormatting>
  <conditionalFormatting sqref="B14:J33">
    <cfRule type="expression" dxfId="37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7.7109375" style="1" customWidth="1"/>
    <col min="3" max="10" width="9.285156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18</v>
      </c>
      <c r="L2" s="71">
        <v>2013</v>
      </c>
      <c r="M2" s="71"/>
      <c r="N2" s="79">
        <f>Kalendriaasta</f>
        <v>2016</v>
      </c>
    </row>
    <row r="3" spans="1:14" ht="21" customHeight="1" x14ac:dyDescent="0.2">
      <c r="A3" s="4"/>
      <c r="B3" s="31" t="s">
        <v>27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17</v>
      </c>
      <c r="I3" s="2" t="s">
        <v>33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IF(DAY(AprP1)=1,AprP1-6,AprP1+1)</f>
        <v>42457</v>
      </c>
      <c r="D4" s="10">
        <f>IF(DAY(AprP1)=1,AprP1-5,AprP1+2)</f>
        <v>42458</v>
      </c>
      <c r="E4" s="10">
        <f>IF(DAY(AprP1)=1,AprP1-4,AprP1+3)</f>
        <v>42459</v>
      </c>
      <c r="F4" s="10">
        <f>IF(DAY(AprP1)=1,AprP1-3,AprP1+4)</f>
        <v>42460</v>
      </c>
      <c r="G4" s="10">
        <f>IF(DAY(AprP1)=1,AprP1-2,AprP1+5)</f>
        <v>42461</v>
      </c>
      <c r="H4" s="10">
        <f>IF(DAY(AprP1)=1,AprP1-1,AprP1+6)</f>
        <v>42462</v>
      </c>
      <c r="I4" s="10">
        <f>IF(DAY(AprP1)=1,AprP1,AprP1+7)</f>
        <v>42463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IF(DAY(AprP1)=1,AprP1+1,AprP1+8)</f>
        <v>42464</v>
      </c>
      <c r="D5" s="10">
        <f>IF(DAY(AprP1)=1,AprP1+2,AprP1+9)</f>
        <v>42465</v>
      </c>
      <c r="E5" s="10">
        <f>IF(DAY(AprP1)=1,AprP1+3,AprP1+10)</f>
        <v>42466</v>
      </c>
      <c r="F5" s="10">
        <f>IF(DAY(AprP1)=1,AprP1+4,AprP1+11)</f>
        <v>42467</v>
      </c>
      <c r="G5" s="10">
        <f>IF(DAY(AprP1)=1,AprP1+5,AprP1+12)</f>
        <v>42468</v>
      </c>
      <c r="H5" s="10">
        <f>IF(DAY(AprP1)=1,AprP1+6,AprP1+13)</f>
        <v>42469</v>
      </c>
      <c r="I5" s="10">
        <f>IF(DAY(AprP1)=1,AprP1+7,AprP1+14)</f>
        <v>42470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IF(DAY(AprP1)=1,AprP1+8,AprP1+15)</f>
        <v>42471</v>
      </c>
      <c r="D6" s="10">
        <f>IF(DAY(AprP1)=1,AprP1+9,AprP1+16)</f>
        <v>42472</v>
      </c>
      <c r="E6" s="10">
        <f>IF(DAY(AprP1)=1,AprP1+10,AprP1+17)</f>
        <v>42473</v>
      </c>
      <c r="F6" s="10">
        <f>IF(DAY(AprP1)=1,AprP1+11,AprP1+18)</f>
        <v>42474</v>
      </c>
      <c r="G6" s="10">
        <f>IF(DAY(AprP1)=1,AprP1+12,AprP1+19)</f>
        <v>42475</v>
      </c>
      <c r="H6" s="10">
        <f>IF(DAY(AprP1)=1,AprP1+13,AprP1+20)</f>
        <v>42476</v>
      </c>
      <c r="I6" s="10">
        <f>IF(DAY(AprP1)=1,AprP1+14,AprP1+21)</f>
        <v>42477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IF(DAY(AprP1)=1,AprP1+15,AprP1+22)</f>
        <v>42478</v>
      </c>
      <c r="D7" s="10">
        <f>IF(DAY(AprP1)=1,AprP1+16,AprP1+23)</f>
        <v>42479</v>
      </c>
      <c r="E7" s="10">
        <f>IF(DAY(AprP1)=1,AprP1+17,AprP1+24)</f>
        <v>42480</v>
      </c>
      <c r="F7" s="10">
        <f>IF(DAY(AprP1)=1,AprP1+18,AprP1+25)</f>
        <v>42481</v>
      </c>
      <c r="G7" s="10">
        <f>IF(DAY(AprP1)=1,AprP1+19,AprP1+26)</f>
        <v>42482</v>
      </c>
      <c r="H7" s="10">
        <f>IF(DAY(AprP1)=1,AprP1+20,AprP1+27)</f>
        <v>42483</v>
      </c>
      <c r="I7" s="10">
        <f>IF(DAY(AprP1)=1,AprP1+21,AprP1+28)</f>
        <v>42484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IF(DAY(AprP1)=1,AprP1+22,AprP1+29)</f>
        <v>42485</v>
      </c>
      <c r="D8" s="10">
        <f>IF(DAY(AprP1)=1,AprP1+23,AprP1+30)</f>
        <v>42486</v>
      </c>
      <c r="E8" s="10">
        <f>IF(DAY(AprP1)=1,AprP1+24,AprP1+31)</f>
        <v>42487</v>
      </c>
      <c r="F8" s="10">
        <f>IF(DAY(AprP1)=1,AprP1+25,AprP1+32)</f>
        <v>42488</v>
      </c>
      <c r="G8" s="10">
        <f>IF(DAY(AprP1)=1,AprP1+26,AprP1+33)</f>
        <v>42489</v>
      </c>
      <c r="H8" s="10">
        <f>IF(DAY(AprP1)=1,AprP1+27,AprP1+34)</f>
        <v>42490</v>
      </c>
      <c r="I8" s="10">
        <f>IF(DAY(AprP1)=1,AprP1+28,AprP1+35)</f>
        <v>42491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IF(DAY(AprP1)=1,AprP1+29,AprP1+36)</f>
        <v>42492</v>
      </c>
      <c r="D9" s="10">
        <f>IF(DAY(AprP1)=1,AprP1+30,AprP1+37)</f>
        <v>42493</v>
      </c>
      <c r="E9" s="10">
        <f>IF(DAY(AprP1)=1,AprP1+31,AprP1+38)</f>
        <v>42494</v>
      </c>
      <c r="F9" s="10">
        <f>IF(DAY(AprP1)=1,AprP1+32,AprP1+39)</f>
        <v>42495</v>
      </c>
      <c r="G9" s="10">
        <f>IF(DAY(AprP1)=1,AprP1+33,AprP1+40)</f>
        <v>42496</v>
      </c>
      <c r="H9" s="10">
        <f>IF(DAY(AprP1)=1,AprP1+34,AprP1+41)</f>
        <v>42497</v>
      </c>
      <c r="I9" s="10">
        <f>IF(DAY(AprP1)=1,AprP1+35,AprP1+42)</f>
        <v>42498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9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9</v>
      </c>
      <c r="D13" s="69"/>
      <c r="E13" s="67" t="s">
        <v>14</v>
      </c>
      <c r="F13" s="69"/>
      <c r="G13" s="67" t="s">
        <v>15</v>
      </c>
      <c r="H13" s="69"/>
      <c r="I13" s="67" t="s">
        <v>16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10</v>
      </c>
      <c r="D16" s="45"/>
      <c r="E16" s="44"/>
      <c r="F16" s="45"/>
      <c r="G16" s="44" t="s">
        <v>10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11</v>
      </c>
      <c r="D17" s="47"/>
      <c r="E17" s="46"/>
      <c r="F17" s="47"/>
      <c r="G17" s="46" t="s">
        <v>11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15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12</v>
      </c>
      <c r="D30" s="45"/>
      <c r="E30" s="44"/>
      <c r="F30" s="45"/>
      <c r="G30" s="44" t="s">
        <v>12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13</v>
      </c>
      <c r="D31" s="47"/>
      <c r="E31" s="46"/>
      <c r="F31" s="47"/>
      <c r="G31" s="46" t="s">
        <v>13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8" priority="4">
      <formula>VLOOKUP(DAY(C4),ÜlesannePäevad,1,FALSE)=DAY(C4)</formula>
    </cfRule>
  </conditionalFormatting>
  <conditionalFormatting sqref="B14:J33">
    <cfRule type="expression" dxfId="33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7.7109375" style="1" customWidth="1"/>
    <col min="3" max="10" width="9.285156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18</v>
      </c>
      <c r="L2" s="71">
        <v>2013</v>
      </c>
      <c r="M2" s="71"/>
      <c r="N2" s="79">
        <f>Kalendriaasta</f>
        <v>2016</v>
      </c>
    </row>
    <row r="3" spans="1:14" ht="21" customHeight="1" x14ac:dyDescent="0.2">
      <c r="A3" s="4"/>
      <c r="B3" s="31" t="s">
        <v>28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17</v>
      </c>
      <c r="I3" s="2" t="s">
        <v>33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IF(DAY(MaiP1)=1,MaiP1-6,MaiP1+1)</f>
        <v>42485</v>
      </c>
      <c r="D4" s="10">
        <f>IF(DAY(MaiP1)=1,MaiP1-5,MaiP1+2)</f>
        <v>42486</v>
      </c>
      <c r="E4" s="10">
        <f>IF(DAY(MaiP1)=1,MaiP1-4,MaiP1+3)</f>
        <v>42487</v>
      </c>
      <c r="F4" s="10">
        <f>IF(DAY(MaiP1)=1,MaiP1-3,MaiP1+4)</f>
        <v>42488</v>
      </c>
      <c r="G4" s="10">
        <f>IF(DAY(MaiP1)=1,MaiP1-2,MaiP1+5)</f>
        <v>42489</v>
      </c>
      <c r="H4" s="10">
        <f>IF(DAY(MaiP1)=1,MaiP1-1,MaiP1+6)</f>
        <v>42490</v>
      </c>
      <c r="I4" s="10">
        <f>IF(DAY(MaiP1)=1,MaiP1,MaiP1+7)</f>
        <v>42491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IF(DAY(MaiP1)=1,MaiP1+1,MaiP1+8)</f>
        <v>42492</v>
      </c>
      <c r="D5" s="10">
        <f>IF(DAY(MaiP1)=1,MaiP1+2,MaiP1+9)</f>
        <v>42493</v>
      </c>
      <c r="E5" s="10">
        <f>IF(DAY(MaiP1)=1,MaiP1+3,MaiP1+10)</f>
        <v>42494</v>
      </c>
      <c r="F5" s="10">
        <f>IF(DAY(MaiP1)=1,MaiP1+4,MaiP1+11)</f>
        <v>42495</v>
      </c>
      <c r="G5" s="10">
        <f>IF(DAY(MaiP1)=1,MaiP1+5,MaiP1+12)</f>
        <v>42496</v>
      </c>
      <c r="H5" s="10">
        <f>IF(DAY(MaiP1)=1,MaiP1+6,MaiP1+13)</f>
        <v>42497</v>
      </c>
      <c r="I5" s="10">
        <f>IF(DAY(MaiP1)=1,MaiP1+7,MaiP1+14)</f>
        <v>42498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IF(DAY(MaiP1)=1,MaiP1+8,MaiP1+15)</f>
        <v>42499</v>
      </c>
      <c r="D6" s="10">
        <f>IF(DAY(MaiP1)=1,MaiP1+9,MaiP1+16)</f>
        <v>42500</v>
      </c>
      <c r="E6" s="10">
        <f>IF(DAY(MaiP1)=1,MaiP1+10,MaiP1+17)</f>
        <v>42501</v>
      </c>
      <c r="F6" s="10">
        <f>IF(DAY(MaiP1)=1,MaiP1+11,MaiP1+18)</f>
        <v>42502</v>
      </c>
      <c r="G6" s="10">
        <f>IF(DAY(MaiP1)=1,MaiP1+12,MaiP1+19)</f>
        <v>42503</v>
      </c>
      <c r="H6" s="10">
        <f>IF(DAY(MaiP1)=1,MaiP1+13,MaiP1+20)</f>
        <v>42504</v>
      </c>
      <c r="I6" s="10">
        <f>IF(DAY(MaiP1)=1,MaiP1+14,MaiP1+21)</f>
        <v>42505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IF(DAY(MaiP1)=1,MaiP1+15,MaiP1+22)</f>
        <v>42506</v>
      </c>
      <c r="D7" s="10">
        <f>IF(DAY(MaiP1)=1,MaiP1+16,MaiP1+23)</f>
        <v>42507</v>
      </c>
      <c r="E7" s="10">
        <f>IF(DAY(MaiP1)=1,MaiP1+17,MaiP1+24)</f>
        <v>42508</v>
      </c>
      <c r="F7" s="10">
        <f>IF(DAY(MaiP1)=1,MaiP1+18,MaiP1+25)</f>
        <v>42509</v>
      </c>
      <c r="G7" s="10">
        <f>IF(DAY(MaiP1)=1,MaiP1+19,MaiP1+26)</f>
        <v>42510</v>
      </c>
      <c r="H7" s="10">
        <f>IF(DAY(MaiP1)=1,MaiP1+20,MaiP1+27)</f>
        <v>42511</v>
      </c>
      <c r="I7" s="10">
        <f>IF(DAY(MaiP1)=1,MaiP1+21,MaiP1+28)</f>
        <v>42512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IF(DAY(MaiP1)=1,MaiP1+22,MaiP1+29)</f>
        <v>42513</v>
      </c>
      <c r="D8" s="10">
        <f>IF(DAY(MaiP1)=1,MaiP1+23,MaiP1+30)</f>
        <v>42514</v>
      </c>
      <c r="E8" s="10">
        <f>IF(DAY(MaiP1)=1,MaiP1+24,MaiP1+31)</f>
        <v>42515</v>
      </c>
      <c r="F8" s="10">
        <f>IF(DAY(MaiP1)=1,MaiP1+25,MaiP1+32)</f>
        <v>42516</v>
      </c>
      <c r="G8" s="10">
        <f>IF(DAY(MaiP1)=1,MaiP1+26,MaiP1+33)</f>
        <v>42517</v>
      </c>
      <c r="H8" s="10">
        <f>IF(DAY(MaiP1)=1,MaiP1+27,MaiP1+34)</f>
        <v>42518</v>
      </c>
      <c r="I8" s="10">
        <f>IF(DAY(MaiP1)=1,MaiP1+28,MaiP1+35)</f>
        <v>42519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IF(DAY(MaiP1)=1,MaiP1+29,MaiP1+36)</f>
        <v>42520</v>
      </c>
      <c r="D9" s="10">
        <f>IF(DAY(MaiP1)=1,MaiP1+30,MaiP1+37)</f>
        <v>42521</v>
      </c>
      <c r="E9" s="10">
        <f>IF(DAY(MaiP1)=1,MaiP1+31,MaiP1+38)</f>
        <v>42522</v>
      </c>
      <c r="F9" s="10">
        <f>IF(DAY(MaiP1)=1,MaiP1+32,MaiP1+39)</f>
        <v>42523</v>
      </c>
      <c r="G9" s="10">
        <f>IF(DAY(MaiP1)=1,MaiP1+33,MaiP1+40)</f>
        <v>42524</v>
      </c>
      <c r="H9" s="10">
        <f>IF(DAY(MaiP1)=1,MaiP1+34,MaiP1+41)</f>
        <v>42525</v>
      </c>
      <c r="I9" s="10">
        <f>IF(DAY(MaiP1)=1,MaiP1+35,MaiP1+42)</f>
        <v>42526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9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9</v>
      </c>
      <c r="D13" s="69"/>
      <c r="E13" s="67" t="s">
        <v>14</v>
      </c>
      <c r="F13" s="69"/>
      <c r="G13" s="67" t="s">
        <v>15</v>
      </c>
      <c r="H13" s="69"/>
      <c r="I13" s="67" t="s">
        <v>16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10</v>
      </c>
      <c r="D16" s="45"/>
      <c r="E16" s="44"/>
      <c r="F16" s="45"/>
      <c r="G16" s="44" t="s">
        <v>10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11</v>
      </c>
      <c r="D17" s="47"/>
      <c r="E17" s="46"/>
      <c r="F17" s="47"/>
      <c r="G17" s="46" t="s">
        <v>11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15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12</v>
      </c>
      <c r="D30" s="45"/>
      <c r="E30" s="44"/>
      <c r="F30" s="45"/>
      <c r="G30" s="44" t="s">
        <v>12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13</v>
      </c>
      <c r="D31" s="47"/>
      <c r="E31" s="46"/>
      <c r="F31" s="47"/>
      <c r="G31" s="46" t="s">
        <v>13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2" priority="3" stopIfTrue="1">
      <formula>DAY(C4)&gt;8</formula>
    </cfRule>
  </conditionalFormatting>
  <conditionalFormatting sqref="C8:I10">
    <cfRule type="expression" dxfId="31" priority="2" stopIfTrue="1">
      <formula>AND(DAY(C8)&gt;=1,DAY(C8)&lt;=15)</formula>
    </cfRule>
  </conditionalFormatting>
  <conditionalFormatting sqref="C4:I9">
    <cfRule type="expression" dxfId="7" priority="4">
      <formula>VLOOKUP(DAY(C4),ÜlesannePäevad,1,FALSE)=DAY(C4)</formula>
    </cfRule>
  </conditionalFormatting>
  <conditionalFormatting sqref="B14:J33">
    <cfRule type="expression" dxfId="3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7.7109375" style="1" customWidth="1"/>
    <col min="3" max="10" width="9.285156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18</v>
      </c>
      <c r="L2" s="71">
        <v>2013</v>
      </c>
      <c r="M2" s="71"/>
      <c r="N2" s="79">
        <f>Kalendriaasta</f>
        <v>2016</v>
      </c>
    </row>
    <row r="3" spans="1:14" ht="21" customHeight="1" x14ac:dyDescent="0.2">
      <c r="A3" s="4"/>
      <c r="B3" s="31" t="s">
        <v>29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17</v>
      </c>
      <c r="I3" s="2" t="s">
        <v>33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IF(DAY(JuuniP1)=1,JuuniP1-6,JuuniP1+1)</f>
        <v>42520</v>
      </c>
      <c r="D4" s="10">
        <f>IF(DAY(JuuniP1)=1,JuuniP1-5,JuuniP1+2)</f>
        <v>42521</v>
      </c>
      <c r="E4" s="10">
        <f>IF(DAY(JuuniP1)=1,JuuniP1-4,JuuniP1+3)</f>
        <v>42522</v>
      </c>
      <c r="F4" s="10">
        <f>IF(DAY(JuuniP1)=1,JuuniP1-3,JuuniP1+4)</f>
        <v>42523</v>
      </c>
      <c r="G4" s="10">
        <f>IF(DAY(JuuniP1)=1,JuuniP1-2,JuuniP1+5)</f>
        <v>42524</v>
      </c>
      <c r="H4" s="10">
        <f>IF(DAY(JuuniP1)=1,JuuniP1-1,JuuniP1+6)</f>
        <v>42525</v>
      </c>
      <c r="I4" s="10">
        <f>IF(DAY(JuuniP1)=1,JuuniP1,JuuniP1+7)</f>
        <v>42526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IF(DAY(JuuniP1)=1,JuuniP1+1,JuuniP1+8)</f>
        <v>42527</v>
      </c>
      <c r="D5" s="10">
        <f>IF(DAY(JuuniP1)=1,JuuniP1+2,JuuniP1+9)</f>
        <v>42528</v>
      </c>
      <c r="E5" s="10">
        <f>IF(DAY(JuuniP1)=1,JuuniP1+3,JuuniP1+10)</f>
        <v>42529</v>
      </c>
      <c r="F5" s="10">
        <f>IF(DAY(JuuniP1)=1,JuuniP1+4,JuuniP1+11)</f>
        <v>42530</v>
      </c>
      <c r="G5" s="10">
        <f>IF(DAY(JuuniP1)=1,JuuniP1+5,JuuniP1+12)</f>
        <v>42531</v>
      </c>
      <c r="H5" s="10">
        <f>IF(DAY(JuuniP1)=1,JuuniP1+6,JuuniP1+13)</f>
        <v>42532</v>
      </c>
      <c r="I5" s="10">
        <f>IF(DAY(JuuniP1)=1,JuuniP1+7,JuuniP1+14)</f>
        <v>42533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IF(DAY(JuuniP1)=1,JuuniP1+8,JuuniP1+15)</f>
        <v>42534</v>
      </c>
      <c r="D6" s="10">
        <f>IF(DAY(JuuniP1)=1,JuuniP1+9,JuuniP1+16)</f>
        <v>42535</v>
      </c>
      <c r="E6" s="10">
        <f>IF(DAY(JuuniP1)=1,JuuniP1+10,JuuniP1+17)</f>
        <v>42536</v>
      </c>
      <c r="F6" s="10">
        <f>IF(DAY(JuuniP1)=1,JuuniP1+11,JuuniP1+18)</f>
        <v>42537</v>
      </c>
      <c r="G6" s="10">
        <f>IF(DAY(JuuniP1)=1,JuuniP1+12,JuuniP1+19)</f>
        <v>42538</v>
      </c>
      <c r="H6" s="10">
        <f>IF(DAY(JuuniP1)=1,JuuniP1+13,JuuniP1+20)</f>
        <v>42539</v>
      </c>
      <c r="I6" s="10">
        <f>IF(DAY(JuuniP1)=1,JuuniP1+14,JuuniP1+21)</f>
        <v>42540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IF(DAY(JuuniP1)=1,JuuniP1+15,JuuniP1+22)</f>
        <v>42541</v>
      </c>
      <c r="D7" s="10">
        <f>IF(DAY(JuuniP1)=1,JuuniP1+16,JuuniP1+23)</f>
        <v>42542</v>
      </c>
      <c r="E7" s="10">
        <f>IF(DAY(JuuniP1)=1,JuuniP1+17,JuuniP1+24)</f>
        <v>42543</v>
      </c>
      <c r="F7" s="10">
        <f>IF(DAY(JuuniP1)=1,JuuniP1+18,JuuniP1+25)</f>
        <v>42544</v>
      </c>
      <c r="G7" s="10">
        <f>IF(DAY(JuuniP1)=1,JuuniP1+19,JuuniP1+26)</f>
        <v>42545</v>
      </c>
      <c r="H7" s="10">
        <f>IF(DAY(JuuniP1)=1,JuuniP1+20,JuuniP1+27)</f>
        <v>42546</v>
      </c>
      <c r="I7" s="10">
        <f>IF(DAY(JuuniP1)=1,JuuniP1+21,JuuniP1+28)</f>
        <v>42547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IF(DAY(JuuniP1)=1,JuuniP1+22,JuuniP1+29)</f>
        <v>42548</v>
      </c>
      <c r="D8" s="10">
        <f>IF(DAY(JuuniP1)=1,JuuniP1+23,JuuniP1+30)</f>
        <v>42549</v>
      </c>
      <c r="E8" s="10">
        <f>IF(DAY(JuuniP1)=1,JuuniP1+24,JuuniP1+31)</f>
        <v>42550</v>
      </c>
      <c r="F8" s="10">
        <f>IF(DAY(JuuniP1)=1,JuuniP1+25,JuuniP1+32)</f>
        <v>42551</v>
      </c>
      <c r="G8" s="10">
        <f>IF(DAY(JuuniP1)=1,JuuniP1+26,JuuniP1+33)</f>
        <v>42552</v>
      </c>
      <c r="H8" s="10">
        <f>IF(DAY(JuuniP1)=1,JuuniP1+27,JuuniP1+34)</f>
        <v>42553</v>
      </c>
      <c r="I8" s="10">
        <f>IF(DAY(JuuniP1)=1,JuuniP1+28,JuuniP1+35)</f>
        <v>42554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IF(DAY(JuuniP1)=1,JuuniP1+29,JuuniP1+36)</f>
        <v>42555</v>
      </c>
      <c r="D9" s="10">
        <f>IF(DAY(JuuniP1)=1,JuuniP1+30,JuuniP1+37)</f>
        <v>42556</v>
      </c>
      <c r="E9" s="10">
        <f>IF(DAY(JuuniP1)=1,JuuniP1+31,JuuniP1+38)</f>
        <v>42557</v>
      </c>
      <c r="F9" s="10">
        <f>IF(DAY(JuuniP1)=1,JuuniP1+32,JuuniP1+39)</f>
        <v>42558</v>
      </c>
      <c r="G9" s="10">
        <f>IF(DAY(JuuniP1)=1,JuuniP1+33,JuuniP1+40)</f>
        <v>42559</v>
      </c>
      <c r="H9" s="10">
        <f>IF(DAY(JuuniP1)=1,JuuniP1+34,JuuniP1+41)</f>
        <v>42560</v>
      </c>
      <c r="I9" s="10">
        <f>IF(DAY(JuuniP1)=1,JuuniP1+35,JuuniP1+42)</f>
        <v>42561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9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9</v>
      </c>
      <c r="D13" s="69"/>
      <c r="E13" s="67" t="s">
        <v>14</v>
      </c>
      <c r="F13" s="69"/>
      <c r="G13" s="67" t="s">
        <v>15</v>
      </c>
      <c r="H13" s="69"/>
      <c r="I13" s="67" t="s">
        <v>16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10</v>
      </c>
      <c r="D16" s="45"/>
      <c r="E16" s="44"/>
      <c r="F16" s="45"/>
      <c r="G16" s="44" t="s">
        <v>10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11</v>
      </c>
      <c r="D17" s="47"/>
      <c r="E17" s="46"/>
      <c r="F17" s="47"/>
      <c r="G17" s="46" t="s">
        <v>11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15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12</v>
      </c>
      <c r="D30" s="45"/>
      <c r="E30" s="44"/>
      <c r="F30" s="45"/>
      <c r="G30" s="44" t="s">
        <v>12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13</v>
      </c>
      <c r="D31" s="47"/>
      <c r="E31" s="46"/>
      <c r="F31" s="47"/>
      <c r="G31" s="46" t="s">
        <v>13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9" priority="3" stopIfTrue="1">
      <formula>DAY(C4)&gt;8</formula>
    </cfRule>
  </conditionalFormatting>
  <conditionalFormatting sqref="C8:I10">
    <cfRule type="expression" dxfId="28" priority="2" stopIfTrue="1">
      <formula>AND(DAY(C8)&gt;=1,DAY(C8)&lt;=15)</formula>
    </cfRule>
  </conditionalFormatting>
  <conditionalFormatting sqref="C4:I9">
    <cfRule type="expression" dxfId="6" priority="4">
      <formula>VLOOKUP(DAY(C4),ÜlesannePäevad,1,FALSE)=DAY(C4)</formula>
    </cfRule>
  </conditionalFormatting>
  <conditionalFormatting sqref="B14:J33">
    <cfRule type="expression" dxfId="27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7.7109375" style="1" customWidth="1"/>
    <col min="3" max="10" width="9.285156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18</v>
      </c>
      <c r="L2" s="71">
        <v>2013</v>
      </c>
      <c r="M2" s="71"/>
      <c r="N2" s="79">
        <f>Kalendriaasta</f>
        <v>2016</v>
      </c>
    </row>
    <row r="3" spans="1:14" ht="21" customHeight="1" x14ac:dyDescent="0.2">
      <c r="A3" s="4"/>
      <c r="B3" s="31" t="s">
        <v>30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17</v>
      </c>
      <c r="I3" s="2" t="s">
        <v>33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IF(DAY(JuuliP1)=1,JuuliP1-6,JuuliP1+1)</f>
        <v>42548</v>
      </c>
      <c r="D4" s="10">
        <f>IF(DAY(JuuliP1)=1,JuuliP1-5,JuuliP1+2)</f>
        <v>42549</v>
      </c>
      <c r="E4" s="10">
        <f>IF(DAY(JuuliP1)=1,JuuliP1-4,JuuliP1+3)</f>
        <v>42550</v>
      </c>
      <c r="F4" s="10">
        <f>IF(DAY(JuuliP1)=1,JuuliP1-3,JuuliP1+4)</f>
        <v>42551</v>
      </c>
      <c r="G4" s="10">
        <f>IF(DAY(JuuliP1)=1,JuuliP1-2,JuuliP1+5)</f>
        <v>42552</v>
      </c>
      <c r="H4" s="10">
        <f>IF(DAY(JuuliP1)=1,JuuliP1-1,JuuliP1+6)</f>
        <v>42553</v>
      </c>
      <c r="I4" s="10">
        <f>IF(DAY(JuuliP1)=1,JuuliP1,JuuliP1+7)</f>
        <v>42554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IF(DAY(JuuliP1)=1,JuuliP1+1,JuuliP1+8)</f>
        <v>42555</v>
      </c>
      <c r="D5" s="10">
        <f>IF(DAY(JuuliP1)=1,JuuliP1+2,JuuliP1+9)</f>
        <v>42556</v>
      </c>
      <c r="E5" s="10">
        <f>IF(DAY(JuuliP1)=1,JuuliP1+3,JuuliP1+10)</f>
        <v>42557</v>
      </c>
      <c r="F5" s="10">
        <f>IF(DAY(JuuliP1)=1,JuuliP1+4,JuuliP1+11)</f>
        <v>42558</v>
      </c>
      <c r="G5" s="10">
        <f>IF(DAY(JuuliP1)=1,JuuliP1+5,JuuliP1+12)</f>
        <v>42559</v>
      </c>
      <c r="H5" s="10">
        <f>IF(DAY(JuuliP1)=1,JuuliP1+6,JuuliP1+13)</f>
        <v>42560</v>
      </c>
      <c r="I5" s="10">
        <f>IF(DAY(JuuliP1)=1,JuuliP1+7,JuuliP1+14)</f>
        <v>42561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IF(DAY(JuuliP1)=1,JuuliP1+8,JuuliP1+15)</f>
        <v>42562</v>
      </c>
      <c r="D6" s="10">
        <f>IF(DAY(JuuliP1)=1,JuuliP1+9,JuuliP1+16)</f>
        <v>42563</v>
      </c>
      <c r="E6" s="10">
        <f>IF(DAY(JuuliP1)=1,JuuliP1+10,JuuliP1+17)</f>
        <v>42564</v>
      </c>
      <c r="F6" s="10">
        <f>IF(DAY(JuuliP1)=1,JuuliP1+11,JuuliP1+18)</f>
        <v>42565</v>
      </c>
      <c r="G6" s="10">
        <f>IF(DAY(JuuliP1)=1,JuuliP1+12,JuuliP1+19)</f>
        <v>42566</v>
      </c>
      <c r="H6" s="10">
        <f>IF(DAY(JuuliP1)=1,JuuliP1+13,JuuliP1+20)</f>
        <v>42567</v>
      </c>
      <c r="I6" s="10">
        <f>IF(DAY(JuuliP1)=1,JuuliP1+14,JuuliP1+21)</f>
        <v>42568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IF(DAY(JuuliP1)=1,JuuliP1+15,JuuliP1+22)</f>
        <v>42569</v>
      </c>
      <c r="D7" s="10">
        <f>IF(DAY(JuuliP1)=1,JuuliP1+16,JuuliP1+23)</f>
        <v>42570</v>
      </c>
      <c r="E7" s="10">
        <f>IF(DAY(JuuliP1)=1,JuuliP1+17,JuuliP1+24)</f>
        <v>42571</v>
      </c>
      <c r="F7" s="10">
        <f>IF(DAY(JuuliP1)=1,JuuliP1+18,JuuliP1+25)</f>
        <v>42572</v>
      </c>
      <c r="G7" s="10">
        <f>IF(DAY(JuuliP1)=1,JuuliP1+19,JuuliP1+26)</f>
        <v>42573</v>
      </c>
      <c r="H7" s="10">
        <f>IF(DAY(JuuliP1)=1,JuuliP1+20,JuuliP1+27)</f>
        <v>42574</v>
      </c>
      <c r="I7" s="10">
        <f>IF(DAY(JuuliP1)=1,JuuliP1+21,JuuliP1+28)</f>
        <v>42575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IF(DAY(JuuliP1)=1,JuuliP1+22,JuuliP1+29)</f>
        <v>42576</v>
      </c>
      <c r="D8" s="10">
        <f>IF(DAY(JuuliP1)=1,JuuliP1+23,JuuliP1+30)</f>
        <v>42577</v>
      </c>
      <c r="E8" s="10">
        <f>IF(DAY(JuuliP1)=1,JuuliP1+24,JuuliP1+31)</f>
        <v>42578</v>
      </c>
      <c r="F8" s="10">
        <f>IF(DAY(JuuliP1)=1,JuuliP1+25,JuuliP1+32)</f>
        <v>42579</v>
      </c>
      <c r="G8" s="10">
        <f>IF(DAY(JuuliP1)=1,JuuliP1+26,JuuliP1+33)</f>
        <v>42580</v>
      </c>
      <c r="H8" s="10">
        <f>IF(DAY(JuuliP1)=1,JuuliP1+27,JuuliP1+34)</f>
        <v>42581</v>
      </c>
      <c r="I8" s="10">
        <f>IF(DAY(JuuliP1)=1,JuuliP1+28,JuuliP1+35)</f>
        <v>42582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IF(DAY(JuuliP1)=1,JuuliP1+29,JuuliP1+36)</f>
        <v>42583</v>
      </c>
      <c r="D9" s="10">
        <f>IF(DAY(JuuliP1)=1,JuuliP1+30,JuuliP1+37)</f>
        <v>42584</v>
      </c>
      <c r="E9" s="10">
        <f>IF(DAY(JuuliP1)=1,JuuliP1+31,JuuliP1+38)</f>
        <v>42585</v>
      </c>
      <c r="F9" s="10">
        <f>IF(DAY(JuuliP1)=1,JuuliP1+32,JuuliP1+39)</f>
        <v>42586</v>
      </c>
      <c r="G9" s="10">
        <f>IF(DAY(JuuliP1)=1,JuuliP1+33,JuuliP1+40)</f>
        <v>42587</v>
      </c>
      <c r="H9" s="10">
        <f>IF(DAY(JuuliP1)=1,JuuliP1+34,JuuliP1+41)</f>
        <v>42588</v>
      </c>
      <c r="I9" s="10">
        <f>IF(DAY(JuuliP1)=1,JuuliP1+35,JuuliP1+42)</f>
        <v>42589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9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9</v>
      </c>
      <c r="D13" s="69"/>
      <c r="E13" s="67" t="s">
        <v>14</v>
      </c>
      <c r="F13" s="69"/>
      <c r="G13" s="67" t="s">
        <v>15</v>
      </c>
      <c r="H13" s="69"/>
      <c r="I13" s="67" t="s">
        <v>16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10</v>
      </c>
      <c r="D16" s="45"/>
      <c r="E16" s="44"/>
      <c r="F16" s="45"/>
      <c r="G16" s="44" t="s">
        <v>10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11</v>
      </c>
      <c r="D17" s="47"/>
      <c r="E17" s="46"/>
      <c r="F17" s="47"/>
      <c r="G17" s="46" t="s">
        <v>11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15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12</v>
      </c>
      <c r="D30" s="45"/>
      <c r="E30" s="44"/>
      <c r="F30" s="45"/>
      <c r="G30" s="44" t="s">
        <v>12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13</v>
      </c>
      <c r="D31" s="47"/>
      <c r="E31" s="46"/>
      <c r="F31" s="47"/>
      <c r="G31" s="46" t="s">
        <v>13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6" priority="3" stopIfTrue="1">
      <formula>DAY(C4)&gt;8</formula>
    </cfRule>
  </conditionalFormatting>
  <conditionalFormatting sqref="C8:I10">
    <cfRule type="expression" dxfId="25" priority="2" stopIfTrue="1">
      <formula>AND(DAY(C8)&gt;=1,DAY(C8)&lt;=15)</formula>
    </cfRule>
  </conditionalFormatting>
  <conditionalFormatting sqref="C4:I9">
    <cfRule type="expression" dxfId="5" priority="4">
      <formula>VLOOKUP(DAY(C4),ÜlesannePäevad,1,FALSE)=DAY(C4)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7.7109375" style="1" customWidth="1"/>
    <col min="3" max="10" width="9.285156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18</v>
      </c>
      <c r="L2" s="71">
        <v>2013</v>
      </c>
      <c r="M2" s="71"/>
      <c r="N2" s="79">
        <f>Kalendriaasta</f>
        <v>2016</v>
      </c>
    </row>
    <row r="3" spans="1:14" ht="21" customHeight="1" x14ac:dyDescent="0.2">
      <c r="A3" s="4"/>
      <c r="B3" s="31" t="s">
        <v>31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17</v>
      </c>
      <c r="I3" s="2" t="s">
        <v>33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IF(DAY(AugP1)=1,AugP1-6,AugP1+1)</f>
        <v>42583</v>
      </c>
      <c r="D4" s="10">
        <f>IF(DAY(AugP1)=1,AugP1-5,AugP1+2)</f>
        <v>42584</v>
      </c>
      <c r="E4" s="10">
        <f>IF(DAY(AugP1)=1,AugP1-4,AugP1+3)</f>
        <v>42585</v>
      </c>
      <c r="F4" s="10">
        <f>IF(DAY(AugP1)=1,AugP1-3,AugP1+4)</f>
        <v>42586</v>
      </c>
      <c r="G4" s="10">
        <f>IF(DAY(AugP1)=1,AugP1-2,AugP1+5)</f>
        <v>42587</v>
      </c>
      <c r="H4" s="10">
        <f>IF(DAY(AugP1)=1,AugP1-1,AugP1+6)</f>
        <v>42588</v>
      </c>
      <c r="I4" s="10">
        <f>IF(DAY(AugP1)=1,AugP1,AugP1+7)</f>
        <v>42589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IF(DAY(AugP1)=1,AugP1+1,AugP1+8)</f>
        <v>42590</v>
      </c>
      <c r="D5" s="10">
        <f>IF(DAY(AugP1)=1,AugP1+2,AugP1+9)</f>
        <v>42591</v>
      </c>
      <c r="E5" s="10">
        <f>IF(DAY(AugP1)=1,AugP1+3,AugP1+10)</f>
        <v>42592</v>
      </c>
      <c r="F5" s="10">
        <f>IF(DAY(AugP1)=1,AugP1+4,AugP1+11)</f>
        <v>42593</v>
      </c>
      <c r="G5" s="10">
        <f>IF(DAY(AugP1)=1,AugP1+5,AugP1+12)</f>
        <v>42594</v>
      </c>
      <c r="H5" s="10">
        <f>IF(DAY(AugP1)=1,AugP1+6,AugP1+13)</f>
        <v>42595</v>
      </c>
      <c r="I5" s="10">
        <f>IF(DAY(AugP1)=1,AugP1+7,AugP1+14)</f>
        <v>42596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IF(DAY(AugP1)=1,AugP1+8,AugP1+15)</f>
        <v>42597</v>
      </c>
      <c r="D6" s="10">
        <f>IF(DAY(AugP1)=1,AugP1+9,AugP1+16)</f>
        <v>42598</v>
      </c>
      <c r="E6" s="10">
        <f>IF(DAY(AugP1)=1,AugP1+10,AugP1+17)</f>
        <v>42599</v>
      </c>
      <c r="F6" s="10">
        <f>IF(DAY(AugP1)=1,AugP1+11,AugP1+18)</f>
        <v>42600</v>
      </c>
      <c r="G6" s="10">
        <f>IF(DAY(AugP1)=1,AugP1+12,AugP1+19)</f>
        <v>42601</v>
      </c>
      <c r="H6" s="10">
        <f>IF(DAY(AugP1)=1,AugP1+13,AugP1+20)</f>
        <v>42602</v>
      </c>
      <c r="I6" s="10">
        <f>IF(DAY(AugP1)=1,AugP1+14,AugP1+21)</f>
        <v>42603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IF(DAY(AugP1)=1,AugP1+15,AugP1+22)</f>
        <v>42604</v>
      </c>
      <c r="D7" s="10">
        <f>IF(DAY(AugP1)=1,AugP1+16,AugP1+23)</f>
        <v>42605</v>
      </c>
      <c r="E7" s="10">
        <f>IF(DAY(AugP1)=1,AugP1+17,AugP1+24)</f>
        <v>42606</v>
      </c>
      <c r="F7" s="10">
        <f>IF(DAY(AugP1)=1,AugP1+18,AugP1+25)</f>
        <v>42607</v>
      </c>
      <c r="G7" s="10">
        <f>IF(DAY(AugP1)=1,AugP1+19,AugP1+26)</f>
        <v>42608</v>
      </c>
      <c r="H7" s="10">
        <f>IF(DAY(AugP1)=1,AugP1+20,AugP1+27)</f>
        <v>42609</v>
      </c>
      <c r="I7" s="10">
        <f>IF(DAY(AugP1)=1,AugP1+21,AugP1+28)</f>
        <v>42610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IF(DAY(AugP1)=1,AugP1+22,AugP1+29)</f>
        <v>42611</v>
      </c>
      <c r="D8" s="10">
        <f>IF(DAY(AugP1)=1,AugP1+23,AugP1+30)</f>
        <v>42612</v>
      </c>
      <c r="E8" s="10">
        <f>IF(DAY(AugP1)=1,AugP1+24,AugP1+31)</f>
        <v>42613</v>
      </c>
      <c r="F8" s="10">
        <f>IF(DAY(AugP1)=1,AugP1+25,AugP1+32)</f>
        <v>42614</v>
      </c>
      <c r="G8" s="10">
        <f>IF(DAY(AugP1)=1,AugP1+26,AugP1+33)</f>
        <v>42615</v>
      </c>
      <c r="H8" s="10">
        <f>IF(DAY(AugP1)=1,AugP1+27,AugP1+34)</f>
        <v>42616</v>
      </c>
      <c r="I8" s="10">
        <f>IF(DAY(AugP1)=1,AugP1+28,AugP1+35)</f>
        <v>42617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IF(DAY(AugP1)=1,AugP1+29,AugP1+36)</f>
        <v>42618</v>
      </c>
      <c r="D9" s="10">
        <f>IF(DAY(AugP1)=1,AugP1+30,AugP1+37)</f>
        <v>42619</v>
      </c>
      <c r="E9" s="10">
        <f>IF(DAY(AugP1)=1,AugP1+31,AugP1+38)</f>
        <v>42620</v>
      </c>
      <c r="F9" s="10">
        <f>IF(DAY(AugP1)=1,AugP1+32,AugP1+39)</f>
        <v>42621</v>
      </c>
      <c r="G9" s="10">
        <f>IF(DAY(AugP1)=1,AugP1+33,AugP1+40)</f>
        <v>42622</v>
      </c>
      <c r="H9" s="10">
        <f>IF(DAY(AugP1)=1,AugP1+34,AugP1+41)</f>
        <v>42623</v>
      </c>
      <c r="I9" s="10">
        <f>IF(DAY(AugP1)=1,AugP1+35,AugP1+42)</f>
        <v>42624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9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9</v>
      </c>
      <c r="D13" s="69"/>
      <c r="E13" s="67" t="s">
        <v>14</v>
      </c>
      <c r="F13" s="69"/>
      <c r="G13" s="67" t="s">
        <v>15</v>
      </c>
      <c r="H13" s="69"/>
      <c r="I13" s="67" t="s">
        <v>16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10</v>
      </c>
      <c r="D16" s="45"/>
      <c r="E16" s="44"/>
      <c r="F16" s="45"/>
      <c r="G16" s="44" t="s">
        <v>10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11</v>
      </c>
      <c r="D17" s="47"/>
      <c r="E17" s="46"/>
      <c r="F17" s="47"/>
      <c r="G17" s="46" t="s">
        <v>11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15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12</v>
      </c>
      <c r="D30" s="45"/>
      <c r="E30" s="44"/>
      <c r="F30" s="45"/>
      <c r="G30" s="44" t="s">
        <v>12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13</v>
      </c>
      <c r="D31" s="47"/>
      <c r="E31" s="46"/>
      <c r="F31" s="47"/>
      <c r="G31" s="46" t="s">
        <v>13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4" priority="4">
      <formula>VLOOKUP(DAY(C4),ÜlesannePäevad,1,FALSE)=DAY(C4)</formula>
    </cfRule>
  </conditionalFormatting>
  <conditionalFormatting sqref="B14:J33">
    <cfRule type="expression" dxfId="21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7.7109375" style="1" customWidth="1"/>
    <col min="3" max="10" width="9.285156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18</v>
      </c>
      <c r="L2" s="71">
        <v>2013</v>
      </c>
      <c r="M2" s="71"/>
      <c r="N2" s="79">
        <f>Kalendriaasta</f>
        <v>2016</v>
      </c>
    </row>
    <row r="3" spans="1:14" ht="21" customHeight="1" x14ac:dyDescent="0.2">
      <c r="A3" s="4"/>
      <c r="B3" s="31" t="s">
        <v>32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17</v>
      </c>
      <c r="I3" s="2" t="s">
        <v>33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IF(DAY(SeptP1)=1,SeptP1-6,SeptP1+1)</f>
        <v>42611</v>
      </c>
      <c r="D4" s="10">
        <f>IF(DAY(SeptP1)=1,SeptP1-5,SeptP1+2)</f>
        <v>42612</v>
      </c>
      <c r="E4" s="10">
        <f>IF(DAY(SeptP1)=1,SeptP1-4,SeptP1+3)</f>
        <v>42613</v>
      </c>
      <c r="F4" s="10">
        <f>IF(DAY(SeptP1)=1,SeptP1-3,SeptP1+4)</f>
        <v>42614</v>
      </c>
      <c r="G4" s="10">
        <f>IF(DAY(SeptP1)=1,SeptP1-2,SeptP1+5)</f>
        <v>42615</v>
      </c>
      <c r="H4" s="10">
        <f>IF(DAY(SeptP1)=1,SeptP1-1,SeptP1+6)</f>
        <v>42616</v>
      </c>
      <c r="I4" s="10">
        <f>IF(DAY(SeptP1)=1,SeptP1,SeptP1+7)</f>
        <v>42617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IF(DAY(SeptP1)=1,SeptP1+1,SeptP1+8)</f>
        <v>42618</v>
      </c>
      <c r="D5" s="10">
        <f>IF(DAY(SeptP1)=1,SeptP1+2,SeptP1+9)</f>
        <v>42619</v>
      </c>
      <c r="E5" s="10">
        <f>IF(DAY(SeptP1)=1,SeptP1+3,SeptP1+10)</f>
        <v>42620</v>
      </c>
      <c r="F5" s="10">
        <f>IF(DAY(SeptP1)=1,SeptP1+4,SeptP1+11)</f>
        <v>42621</v>
      </c>
      <c r="G5" s="10">
        <f>IF(DAY(SeptP1)=1,SeptP1+5,SeptP1+12)</f>
        <v>42622</v>
      </c>
      <c r="H5" s="10">
        <f>IF(DAY(SeptP1)=1,SeptP1+6,SeptP1+13)</f>
        <v>42623</v>
      </c>
      <c r="I5" s="10">
        <f>IF(DAY(SeptP1)=1,SeptP1+7,SeptP1+14)</f>
        <v>42624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IF(DAY(SeptP1)=1,SeptP1+8,SeptP1+15)</f>
        <v>42625</v>
      </c>
      <c r="D6" s="10">
        <f>IF(DAY(SeptP1)=1,SeptP1+9,SeptP1+16)</f>
        <v>42626</v>
      </c>
      <c r="E6" s="10">
        <f>IF(DAY(SeptP1)=1,SeptP1+10,SeptP1+17)</f>
        <v>42627</v>
      </c>
      <c r="F6" s="10">
        <f>IF(DAY(SeptP1)=1,SeptP1+11,SeptP1+18)</f>
        <v>42628</v>
      </c>
      <c r="G6" s="10">
        <f>IF(DAY(SeptP1)=1,SeptP1+12,SeptP1+19)</f>
        <v>42629</v>
      </c>
      <c r="H6" s="10">
        <f>IF(DAY(SeptP1)=1,SeptP1+13,SeptP1+20)</f>
        <v>42630</v>
      </c>
      <c r="I6" s="10">
        <f>IF(DAY(SeptP1)=1,SeptP1+14,SeptP1+21)</f>
        <v>42631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IF(DAY(SeptP1)=1,SeptP1+15,SeptP1+22)</f>
        <v>42632</v>
      </c>
      <c r="D7" s="10">
        <f>IF(DAY(SeptP1)=1,SeptP1+16,SeptP1+23)</f>
        <v>42633</v>
      </c>
      <c r="E7" s="10">
        <f>IF(DAY(SeptP1)=1,SeptP1+17,SeptP1+24)</f>
        <v>42634</v>
      </c>
      <c r="F7" s="10">
        <f>IF(DAY(SeptP1)=1,SeptP1+18,SeptP1+25)</f>
        <v>42635</v>
      </c>
      <c r="G7" s="10">
        <f>IF(DAY(SeptP1)=1,SeptP1+19,SeptP1+26)</f>
        <v>42636</v>
      </c>
      <c r="H7" s="10">
        <f>IF(DAY(SeptP1)=1,SeptP1+20,SeptP1+27)</f>
        <v>42637</v>
      </c>
      <c r="I7" s="10">
        <f>IF(DAY(SeptP1)=1,SeptP1+21,SeptP1+28)</f>
        <v>42638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IF(DAY(SeptP1)=1,SeptP1+22,SeptP1+29)</f>
        <v>42639</v>
      </c>
      <c r="D8" s="10">
        <f>IF(DAY(SeptP1)=1,SeptP1+23,SeptP1+30)</f>
        <v>42640</v>
      </c>
      <c r="E8" s="10">
        <f>IF(DAY(SeptP1)=1,SeptP1+24,SeptP1+31)</f>
        <v>42641</v>
      </c>
      <c r="F8" s="10">
        <f>IF(DAY(SeptP1)=1,SeptP1+25,SeptP1+32)</f>
        <v>42642</v>
      </c>
      <c r="G8" s="10">
        <f>IF(DAY(SeptP1)=1,SeptP1+26,SeptP1+33)</f>
        <v>42643</v>
      </c>
      <c r="H8" s="10">
        <f>IF(DAY(SeptP1)=1,SeptP1+27,SeptP1+34)</f>
        <v>42644</v>
      </c>
      <c r="I8" s="10">
        <f>IF(DAY(SeptP1)=1,SeptP1+28,SeptP1+35)</f>
        <v>42645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IF(DAY(SeptP1)=1,SeptP1+29,SeptP1+36)</f>
        <v>42646</v>
      </c>
      <c r="D9" s="10">
        <f>IF(DAY(SeptP1)=1,SeptP1+30,SeptP1+37)</f>
        <v>42647</v>
      </c>
      <c r="E9" s="10">
        <f>IF(DAY(SeptP1)=1,SeptP1+31,SeptP1+38)</f>
        <v>42648</v>
      </c>
      <c r="F9" s="10">
        <f>IF(DAY(SeptP1)=1,SeptP1+32,SeptP1+39)</f>
        <v>42649</v>
      </c>
      <c r="G9" s="10">
        <f>IF(DAY(SeptP1)=1,SeptP1+33,SeptP1+40)</f>
        <v>42650</v>
      </c>
      <c r="H9" s="10">
        <f>IF(DAY(SeptP1)=1,SeptP1+34,SeptP1+41)</f>
        <v>42651</v>
      </c>
      <c r="I9" s="10">
        <f>IF(DAY(SeptP1)=1,SeptP1+35,SeptP1+42)</f>
        <v>42652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9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9</v>
      </c>
      <c r="D13" s="69"/>
      <c r="E13" s="67" t="s">
        <v>14</v>
      </c>
      <c r="F13" s="69"/>
      <c r="G13" s="67" t="s">
        <v>15</v>
      </c>
      <c r="H13" s="69"/>
      <c r="I13" s="67" t="s">
        <v>16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10</v>
      </c>
      <c r="D16" s="45"/>
      <c r="E16" s="44"/>
      <c r="F16" s="45"/>
      <c r="G16" s="44" t="s">
        <v>10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11</v>
      </c>
      <c r="D17" s="47"/>
      <c r="E17" s="46"/>
      <c r="F17" s="47"/>
      <c r="G17" s="46" t="s">
        <v>11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15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12</v>
      </c>
      <c r="D30" s="45"/>
      <c r="E30" s="44"/>
      <c r="F30" s="45"/>
      <c r="G30" s="44" t="s">
        <v>12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13</v>
      </c>
      <c r="D31" s="47"/>
      <c r="E31" s="46"/>
      <c r="F31" s="47"/>
      <c r="G31" s="46" t="s">
        <v>13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0" priority="3" stopIfTrue="1">
      <formula>DAY(C4)&gt;8</formula>
    </cfRule>
  </conditionalFormatting>
  <conditionalFormatting sqref="C8:I10">
    <cfRule type="expression" dxfId="19" priority="2" stopIfTrue="1">
      <formula>AND(DAY(C8)&gt;=1,DAY(C8)&lt;=15)</formula>
    </cfRule>
  </conditionalFormatting>
  <conditionalFormatting sqref="C4:I9">
    <cfRule type="expression" dxfId="3" priority="4">
      <formula>VLOOKUP(DAY(C4),ÜlesannePäevad,1,FALSE)=DAY(C4)</formula>
    </cfRule>
  </conditionalFormatting>
  <conditionalFormatting sqref="B14:J33">
    <cfRule type="expression" dxfId="1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12</vt:i4>
      </vt:variant>
      <vt:variant>
        <vt:lpstr>Nimega vahemikud</vt:lpstr>
      </vt:variant>
      <vt:variant>
        <vt:i4>37</vt:i4>
      </vt:variant>
    </vt:vector>
  </HeadingPairs>
  <TitlesOfParts>
    <vt:vector size="49" baseType="lpstr">
      <vt:lpstr>Jaan</vt:lpstr>
      <vt:lpstr>Veebr</vt:lpstr>
      <vt:lpstr>Märts</vt:lpstr>
      <vt:lpstr>Apr</vt:lpstr>
      <vt:lpstr>Mai</vt:lpstr>
      <vt:lpstr>Juuni</vt:lpstr>
      <vt:lpstr>Juuli</vt:lpstr>
      <vt:lpstr>Aug</vt:lpstr>
      <vt:lpstr>Sept</vt:lpstr>
      <vt:lpstr>Okt</vt:lpstr>
      <vt:lpstr>Nov</vt:lpstr>
      <vt:lpstr>Dets</vt:lpstr>
      <vt:lpstr>Kalendriaasta</vt:lpstr>
      <vt:lpstr>Apr!OlulisedKuupäevadTabel</vt:lpstr>
      <vt:lpstr>Aug!OlulisedKuupäevadTabel</vt:lpstr>
      <vt:lpstr>Dets!OlulisedKuupäevadTabel</vt:lpstr>
      <vt:lpstr>Juuli!OlulisedKuupäevadTabel</vt:lpstr>
      <vt:lpstr>Juuni!OlulisedKuupäevadTabel</vt:lpstr>
      <vt:lpstr>Mai!OlulisedKuupäevadTabel</vt:lpstr>
      <vt:lpstr>Märts!OlulisedKuupäevadTabel</vt:lpstr>
      <vt:lpstr>Nov!OlulisedKuupäevadTabel</vt:lpstr>
      <vt:lpstr>Okt!OlulisedKuupäevadTabel</vt:lpstr>
      <vt:lpstr>Sept!OlulisedKuupäevadTabel</vt:lpstr>
      <vt:lpstr>Veebr!OlulisedKuupäevadTabel</vt:lpstr>
      <vt:lpstr>OlulisedKuupäevadTabel</vt:lpstr>
      <vt:lpstr>Apr!Prindiala</vt:lpstr>
      <vt:lpstr>Aug!Prindiala</vt:lpstr>
      <vt:lpstr>Dets!Prindiala</vt:lpstr>
      <vt:lpstr>Jaan!Prindiala</vt:lpstr>
      <vt:lpstr>Juuli!Prindiala</vt:lpstr>
      <vt:lpstr>Juuni!Prindiala</vt:lpstr>
      <vt:lpstr>Mai!Prindiala</vt:lpstr>
      <vt:lpstr>Märts!Prindiala</vt:lpstr>
      <vt:lpstr>Nov!Prindiala</vt:lpstr>
      <vt:lpstr>Okt!Prindiala</vt:lpstr>
      <vt:lpstr>Sept!Prindiala</vt:lpstr>
      <vt:lpstr>Veebr!Prindiala</vt:lpstr>
      <vt:lpstr>Apr!ÜlesannePäevad</vt:lpstr>
      <vt:lpstr>Aug!ÜlesannePäevad</vt:lpstr>
      <vt:lpstr>Dets!ÜlesannePäevad</vt:lpstr>
      <vt:lpstr>Juuli!ÜlesannePäevad</vt:lpstr>
      <vt:lpstr>Juuni!ÜlesannePäevad</vt:lpstr>
      <vt:lpstr>Mai!ÜlesannePäevad</vt:lpstr>
      <vt:lpstr>Märts!ÜlesannePäevad</vt:lpstr>
      <vt:lpstr>Nov!ÜlesannePäevad</vt:lpstr>
      <vt:lpstr>Okt!ÜlesannePäevad</vt:lpstr>
      <vt:lpstr>Sept!ÜlesannePäevad</vt:lpstr>
      <vt:lpstr>Veebr!ÜlesannePäevad</vt:lpstr>
      <vt:lpstr>ÜlesannePäevad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Windowsi kasutaja</cp:lastModifiedBy>
  <dcterms:created xsi:type="dcterms:W3CDTF">2013-11-22T23:21:45Z</dcterms:created>
  <dcterms:modified xsi:type="dcterms:W3CDTF">2015-10-10T07:49:55Z</dcterms:modified>
</cp:coreProperties>
</file>