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Administrador\Desktop\QA\FY18_Q1_B2\"/>
    </mc:Choice>
  </mc:AlternateContent>
  <bookViews>
    <workbookView xWindow="0" yWindow="0" windowWidth="21600" windowHeight="9510" tabRatio="741"/>
  </bookViews>
  <sheets>
    <sheet name="Ene" sheetId="1" r:id="rId1"/>
    <sheet name="Feb" sheetId="6" r:id="rId2"/>
    <sheet name="Mar" sheetId="17" r:id="rId3"/>
    <sheet name="Abr" sheetId="18" r:id="rId4"/>
    <sheet name="May" sheetId="19" r:id="rId5"/>
    <sheet name="Jun" sheetId="20" r:id="rId6"/>
    <sheet name="Jul" sheetId="21" r:id="rId7"/>
    <sheet name="Ago" sheetId="22" r:id="rId8"/>
    <sheet name="Sep" sheetId="23" r:id="rId9"/>
    <sheet name="Oct" sheetId="24" r:id="rId10"/>
    <sheet name="Nov" sheetId="25" r:id="rId11"/>
    <sheet name="Dic" sheetId="26" r:id="rId12"/>
  </sheets>
  <definedNames>
    <definedName name="AbrDom1">DATE(AñoCalendario,4,1)-WEEKDAY(DATE(AñoCalendario,4,1))+1</definedName>
    <definedName name="AgoDom1">DATE(AñoCalendario,8,1)-WEEKDAY(DATE(AñoCalendario,8,1))+1</definedName>
    <definedName name="AñoCalendario">Ene!$B$1</definedName>
    <definedName name="AssignmentDays" localSheetId="3">Abr!$K$2:$K$31</definedName>
    <definedName name="AssignmentDays" localSheetId="7">Ago!$K$2:$K$31</definedName>
    <definedName name="AssignmentDays" localSheetId="11">Dic!$K$2:$K$31</definedName>
    <definedName name="AssignmentDays" localSheetId="1">Feb!$K$2:$K$31</definedName>
    <definedName name="AssignmentDays" localSheetId="6">Jul!$K$2:$K$31</definedName>
    <definedName name="AssignmentDays" localSheetId="5">Jun!$K$2:$K$31</definedName>
    <definedName name="AssignmentDays" localSheetId="2">Mar!$K$2:$K$31</definedName>
    <definedName name="AssignmentDays" localSheetId="4">May!$K$2:$K$31</definedName>
    <definedName name="AssignmentDays" localSheetId="10">Nov!$K$2:$K$31</definedName>
    <definedName name="AssignmentDays" localSheetId="9">Oct!$K$2:$K$31</definedName>
    <definedName name="AssignmentDays" localSheetId="8">Sep!$K$2:$K$31</definedName>
    <definedName name="AssignmentDays">Ene!$K$2:$K$31</definedName>
    <definedName name="ColumnTitleRegion1..I8.1">Ene!$C$2</definedName>
    <definedName name="ColumnTitleRegion1..I8.10">Oct!$C$2</definedName>
    <definedName name="ColumnTitleRegion1..I8.11">Nov!$C$2</definedName>
    <definedName name="ColumnTitleRegion1..I8.12">Dic!$C$2</definedName>
    <definedName name="ColumnTitleRegion1..I8.2">Feb!$C$2</definedName>
    <definedName name="ColumnTitleRegion1..I8.3">Mar!$C$2</definedName>
    <definedName name="ColumnTitleRegion1..I8.4">Abr!$C$2</definedName>
    <definedName name="ColumnTitleRegion1..I8.5">May!$C$2</definedName>
    <definedName name="ColumnTitleRegion1..I8.6">Jun!$C$2</definedName>
    <definedName name="ColumnTitleRegion1..I8.7">Jul!$C$2</definedName>
    <definedName name="ColumnTitleRegion1..I8.8">Ago!$C$2</definedName>
    <definedName name="ColumnTitleRegion1..I8.9">Sep!$C$2</definedName>
    <definedName name="DecDom1">DATE(AñoCalendario,12,1)-WEEKDAY(DATE(AñoCalendario,12,1))+1</definedName>
    <definedName name="FebDom1">DATE(AñoCalendario,2,1)-WEEKDAY(DATE(AñoCalendario,2,1))+1</definedName>
    <definedName name="ImportantDatesTable" localSheetId="3">Abr!$K$2:$L$6</definedName>
    <definedName name="ImportantDatesTable" localSheetId="7">Ago!$K$2:$L$6</definedName>
    <definedName name="ImportantDatesTable" localSheetId="11">Dic!$K$2:$L$6</definedName>
    <definedName name="ImportantDatesTable" localSheetId="1">Feb!$K$2:$L$6</definedName>
    <definedName name="ImportantDatesTable" localSheetId="6">Jul!$K$2:$L$6</definedName>
    <definedName name="ImportantDatesTable" localSheetId="5">Jun!$K$2:$L$6</definedName>
    <definedName name="ImportantDatesTable" localSheetId="2">Mar!$K$2:$L$6</definedName>
    <definedName name="ImportantDatesTable" localSheetId="4">May!$K$2:$L$6</definedName>
    <definedName name="ImportantDatesTable" localSheetId="10">Nov!$K$2:$L$6</definedName>
    <definedName name="ImportantDatesTable" localSheetId="9">Oct!$K$2:$L$6</definedName>
    <definedName name="ImportantDatesTable" localSheetId="8">Sep!$K$2:$L$6</definedName>
    <definedName name="ImportantDatesTable">Ene!$K$2:$L$6</definedName>
    <definedName name="JanDom1">DATE(AñoCalendario,1,1)-WEEKDAY(DATE(AñoCalendario,1,1))+1</definedName>
    <definedName name="JulDom1">DATE(AñoCalendario,7,1)-WEEKDAY(DATE(AñoCalendario,7,1))+1</definedName>
    <definedName name="JunDom1">DATE(AñoCalendario,6,1)-WEEKDAY(DATE(AñoCalendario,6,1))+1</definedName>
    <definedName name="MarDom1">DATE(AñoCalendario,3,1)-WEEKDAY(DATE(AñoCalendario,3,1))+1</definedName>
    <definedName name="MayDom1">DATE(AñoCalendario,5,1)-WEEKDAY(DATE(AñoCalendario,5,1))+1</definedName>
    <definedName name="NovDom1">DATE(AñoCalendario,11,1)-WEEKDAY(DATE(AñoCalendario,11,1))+1</definedName>
    <definedName name="OctDom1">DATE(AñoCalendario,10,1)-WEEKDAY(DATE(AñoCalendario,10,1))+1</definedName>
    <definedName name="SepDom1">DATE(AñoCalendario,9,1)-WEEKDAY(DATE(AñoCalendario,9,1))+1</definedName>
    <definedName name="TitleRegion2..I31.1">Ene!$A$11</definedName>
    <definedName name="TitleRegion2..I31.10">Oct!$A$11</definedName>
    <definedName name="TitleRegion2..I31.11">Nov!$A$11</definedName>
    <definedName name="TitleRegion2..I31.12">Dic!$A$11</definedName>
    <definedName name="TitleRegion2..I31.2">Feb!$A$11</definedName>
    <definedName name="TitleRegion2..I31.3">Mar!$A$11</definedName>
    <definedName name="TitleRegion2..I31.4">Abr!$A$11</definedName>
    <definedName name="TitleRegion2..I31.5">May!$A$11</definedName>
    <definedName name="TitleRegion2..I31.6">Jun!$A$11</definedName>
    <definedName name="TitleRegion2..I31.7">Jul!$A$11</definedName>
    <definedName name="TitleRegion2..I31.8">Ago!$A$11</definedName>
    <definedName name="TitleRegion2..I31.9">Sep!$A$11</definedName>
    <definedName name="TítuloDeColumna1">EneroTareas[[#Headers],[Día de la semana]]</definedName>
    <definedName name="TítuloDeColumna10">OctubreTareas[[#Headers],[Día de la semana]]</definedName>
    <definedName name="TítuloDeColumna11">NoviembreTareas[[#Headers],[Día de la semana]]</definedName>
    <definedName name="TítuloDeColumna12">DiciembreTareas[[#Headers],[Día de la semana]]</definedName>
    <definedName name="TítuloDeColumna2">FebreroTareas[[#Headers],[Día de la semana]]</definedName>
    <definedName name="TítuloDeColumna3">MarzoTareas[[#Headers],[Día de la semana]]</definedName>
    <definedName name="TítuloDeColumna4">AbrilTareas[[#Headers],[Día de la semana]]</definedName>
    <definedName name="TítuloDeColumna5">MayoTareas[[#Headers],[Día de la semana]]</definedName>
    <definedName name="TítuloDeColumna6">JunioTareas[[#Headers],[Día de la semana]]</definedName>
    <definedName name="TítuloDeColumna7">JulioTareas[[#Headers],[Día de la semana]]</definedName>
    <definedName name="TítuloDeColumna8">AgostoTareas[[#Headers],[Día de la semana]]</definedName>
    <definedName name="TítuloDeColumna9">SeptiembreTareas[[#Headers],[Día de la semana]]</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 i="1" l="1"/>
  <c r="H8" i="22" l="1"/>
  <c r="F8" i="22"/>
  <c r="D8" i="22"/>
  <c r="I7" i="22"/>
  <c r="G7" i="22"/>
  <c r="E7" i="22"/>
  <c r="C7" i="22"/>
  <c r="H6" i="22"/>
  <c r="F6" i="22"/>
  <c r="D6" i="22"/>
  <c r="I5" i="22"/>
  <c r="G5" i="22"/>
  <c r="E5" i="22"/>
  <c r="C5" i="22"/>
  <c r="H4" i="22"/>
  <c r="F4" i="22"/>
  <c r="D4" i="22"/>
  <c r="I3" i="22"/>
  <c r="G3" i="22"/>
  <c r="E3" i="22"/>
  <c r="C3" i="22"/>
  <c r="I8" i="22"/>
  <c r="G8" i="22"/>
  <c r="E8" i="22"/>
  <c r="C8" i="22"/>
  <c r="H7" i="22"/>
  <c r="F7" i="22"/>
  <c r="D7" i="22"/>
  <c r="I6" i="22"/>
  <c r="G6" i="22"/>
  <c r="E6" i="22"/>
  <c r="C6" i="22"/>
  <c r="H5" i="22"/>
  <c r="F5" i="22"/>
  <c r="D5" i="22"/>
  <c r="I4" i="22"/>
  <c r="G4" i="22"/>
  <c r="E4" i="22"/>
  <c r="C4" i="22"/>
  <c r="H3" i="22"/>
  <c r="F3" i="22"/>
  <c r="D3" i="22"/>
  <c r="H8" i="18"/>
  <c r="F8" i="18"/>
  <c r="D8" i="18"/>
  <c r="I7" i="18"/>
  <c r="G7" i="18"/>
  <c r="E7" i="18"/>
  <c r="C7" i="18"/>
  <c r="H6" i="18"/>
  <c r="F6" i="18"/>
  <c r="D6" i="18"/>
  <c r="I5" i="18"/>
  <c r="G5" i="18"/>
  <c r="E5" i="18"/>
  <c r="C5" i="18"/>
  <c r="H4" i="18"/>
  <c r="F4" i="18"/>
  <c r="D4" i="18"/>
  <c r="I3" i="18"/>
  <c r="G3" i="18"/>
  <c r="E3" i="18"/>
  <c r="C3" i="18"/>
  <c r="I8" i="18"/>
  <c r="G8" i="18"/>
  <c r="E8" i="18"/>
  <c r="C8" i="18"/>
  <c r="H7" i="18"/>
  <c r="F7" i="18"/>
  <c r="D7" i="18"/>
  <c r="I6" i="18"/>
  <c r="G6" i="18"/>
  <c r="E6" i="18"/>
  <c r="C6" i="18"/>
  <c r="H5" i="18"/>
  <c r="F5" i="18"/>
  <c r="D5" i="18"/>
  <c r="I4" i="18"/>
  <c r="G4" i="18"/>
  <c r="E4" i="18"/>
  <c r="C4" i="18"/>
  <c r="H3" i="18"/>
  <c r="F3" i="18"/>
  <c r="D3" i="18"/>
  <c r="B1" i="18"/>
  <c r="B1" i="20"/>
  <c r="B1" i="22"/>
  <c r="B1" i="24"/>
  <c r="B1" i="26"/>
  <c r="B1" i="17"/>
  <c r="B1" i="19"/>
  <c r="B1" i="21"/>
  <c r="B1" i="23"/>
  <c r="B1" i="25"/>
  <c r="B1" i="6"/>
  <c r="I8" i="26"/>
  <c r="E8" i="26"/>
  <c r="H7" i="26"/>
  <c r="D7" i="26"/>
  <c r="G6" i="26"/>
  <c r="C6" i="26"/>
  <c r="F5" i="26"/>
  <c r="I4" i="26"/>
  <c r="E4" i="26"/>
  <c r="H3" i="26"/>
  <c r="D3" i="26"/>
  <c r="E7" i="26"/>
  <c r="G5" i="26"/>
  <c r="F4" i="26"/>
  <c r="H8" i="26"/>
  <c r="D8" i="26"/>
  <c r="G7" i="26"/>
  <c r="C7" i="26"/>
  <c r="F6" i="26"/>
  <c r="I5" i="26"/>
  <c r="E5" i="26"/>
  <c r="H4" i="26"/>
  <c r="D4" i="26"/>
  <c r="G3" i="26"/>
  <c r="C3" i="26"/>
  <c r="D6" i="26"/>
  <c r="E3" i="26"/>
  <c r="G8" i="26"/>
  <c r="C8" i="26"/>
  <c r="F7" i="26"/>
  <c r="I6" i="26"/>
  <c r="E6" i="26"/>
  <c r="H5" i="26"/>
  <c r="D5" i="26"/>
  <c r="G4" i="26"/>
  <c r="C4" i="26"/>
  <c r="F3" i="26"/>
  <c r="F8" i="26"/>
  <c r="I7" i="26"/>
  <c r="H6" i="26"/>
  <c r="C5" i="26"/>
  <c r="I3" i="26"/>
  <c r="I8" i="25"/>
  <c r="E8" i="25"/>
  <c r="H7" i="25"/>
  <c r="D7" i="25"/>
  <c r="G6" i="25"/>
  <c r="C6" i="25"/>
  <c r="F5" i="25"/>
  <c r="I4" i="25"/>
  <c r="E4" i="25"/>
  <c r="H3" i="25"/>
  <c r="D3" i="25"/>
  <c r="I7" i="25"/>
  <c r="D6" i="25"/>
  <c r="C5" i="25"/>
  <c r="E3" i="25"/>
  <c r="H8" i="25"/>
  <c r="D8" i="25"/>
  <c r="G7" i="25"/>
  <c r="C7" i="25"/>
  <c r="F6" i="25"/>
  <c r="I5" i="25"/>
  <c r="E5" i="25"/>
  <c r="H4" i="25"/>
  <c r="D4" i="25"/>
  <c r="G3" i="25"/>
  <c r="C3" i="25"/>
  <c r="H6" i="25"/>
  <c r="F4" i="25"/>
  <c r="G8" i="25"/>
  <c r="C8" i="25"/>
  <c r="F7" i="25"/>
  <c r="I6" i="25"/>
  <c r="E6" i="25"/>
  <c r="H5" i="25"/>
  <c r="D5" i="25"/>
  <c r="G4" i="25"/>
  <c r="C4" i="25"/>
  <c r="F3" i="25"/>
  <c r="F8" i="25"/>
  <c r="E7" i="25"/>
  <c r="G5" i="25"/>
  <c r="I3" i="25"/>
  <c r="I8" i="24"/>
  <c r="E8" i="24"/>
  <c r="H7" i="24"/>
  <c r="D7" i="24"/>
  <c r="G6" i="24"/>
  <c r="C6" i="24"/>
  <c r="F5" i="24"/>
  <c r="I4" i="24"/>
  <c r="E4" i="24"/>
  <c r="H3" i="24"/>
  <c r="D3" i="24"/>
  <c r="C8" i="24"/>
  <c r="I6" i="24"/>
  <c r="H5" i="24"/>
  <c r="G4" i="24"/>
  <c r="F3" i="24"/>
  <c r="I7" i="24"/>
  <c r="H6" i="24"/>
  <c r="G5" i="24"/>
  <c r="F4" i="24"/>
  <c r="E3" i="24"/>
  <c r="H8" i="24"/>
  <c r="D8" i="24"/>
  <c r="G7" i="24"/>
  <c r="C7" i="24"/>
  <c r="F6" i="24"/>
  <c r="I5" i="24"/>
  <c r="E5" i="24"/>
  <c r="H4" i="24"/>
  <c r="D4" i="24"/>
  <c r="G3" i="24"/>
  <c r="C3" i="24"/>
  <c r="G8" i="24"/>
  <c r="F7" i="24"/>
  <c r="E6" i="24"/>
  <c r="D5" i="24"/>
  <c r="C4" i="24"/>
  <c r="F8" i="24"/>
  <c r="E7" i="24"/>
  <c r="D6" i="24"/>
  <c r="C5" i="24"/>
  <c r="I3" i="24"/>
  <c r="I8" i="23"/>
  <c r="E8" i="23"/>
  <c r="H7" i="23"/>
  <c r="D7" i="23"/>
  <c r="G6" i="23"/>
  <c r="C6" i="23"/>
  <c r="F5" i="23"/>
  <c r="I4" i="23"/>
  <c r="E4" i="23"/>
  <c r="H3" i="23"/>
  <c r="D3" i="23"/>
  <c r="I7" i="23"/>
  <c r="G5" i="23"/>
  <c r="E3" i="23"/>
  <c r="H8" i="23"/>
  <c r="D8" i="23"/>
  <c r="G7" i="23"/>
  <c r="C7" i="23"/>
  <c r="F6" i="23"/>
  <c r="I5" i="23"/>
  <c r="E5" i="23"/>
  <c r="H4" i="23"/>
  <c r="D4" i="23"/>
  <c r="G3" i="23"/>
  <c r="C3" i="23"/>
  <c r="E7" i="23"/>
  <c r="C5" i="23"/>
  <c r="I3" i="23"/>
  <c r="G8" i="23"/>
  <c r="C8" i="23"/>
  <c r="F7" i="23"/>
  <c r="I6" i="23"/>
  <c r="E6" i="23"/>
  <c r="H5" i="23"/>
  <c r="D5" i="23"/>
  <c r="G4" i="23"/>
  <c r="C4" i="23"/>
  <c r="F3" i="23"/>
  <c r="F8" i="23"/>
  <c r="H6" i="23"/>
  <c r="D6" i="23"/>
  <c r="F4" i="23"/>
  <c r="I8" i="21"/>
  <c r="E8" i="21"/>
  <c r="H7" i="21"/>
  <c r="D7" i="21"/>
  <c r="G6" i="21"/>
  <c r="C6" i="21"/>
  <c r="F5" i="21"/>
  <c r="I4" i="21"/>
  <c r="E4" i="21"/>
  <c r="H3" i="21"/>
  <c r="D3" i="21"/>
  <c r="C8" i="21"/>
  <c r="I6" i="21"/>
  <c r="H5" i="21"/>
  <c r="G4" i="21"/>
  <c r="F3" i="21"/>
  <c r="H8" i="21"/>
  <c r="D8" i="21"/>
  <c r="G7" i="21"/>
  <c r="C7" i="21"/>
  <c r="F6" i="21"/>
  <c r="I5" i="21"/>
  <c r="E5" i="21"/>
  <c r="H4" i="21"/>
  <c r="D4" i="21"/>
  <c r="G3" i="21"/>
  <c r="C3" i="21"/>
  <c r="F7" i="21"/>
  <c r="E6" i="21"/>
  <c r="D5" i="21"/>
  <c r="C4" i="21"/>
  <c r="G8" i="21"/>
  <c r="F8" i="21"/>
  <c r="I7" i="21"/>
  <c r="E7" i="21"/>
  <c r="H6" i="21"/>
  <c r="D6" i="21"/>
  <c r="G5" i="21"/>
  <c r="C5" i="21"/>
  <c r="F4" i="21"/>
  <c r="I3" i="21"/>
  <c r="E3" i="21"/>
  <c r="I8" i="20"/>
  <c r="E8" i="20"/>
  <c r="H7" i="20"/>
  <c r="D7" i="20"/>
  <c r="G6" i="20"/>
  <c r="C6" i="20"/>
  <c r="F5" i="20"/>
  <c r="I4" i="20"/>
  <c r="E4" i="20"/>
  <c r="H3" i="20"/>
  <c r="D3" i="20"/>
  <c r="E7" i="20"/>
  <c r="D6" i="20"/>
  <c r="F4" i="20"/>
  <c r="H8" i="20"/>
  <c r="D8" i="20"/>
  <c r="G7" i="20"/>
  <c r="C7" i="20"/>
  <c r="F6" i="20"/>
  <c r="I5" i="20"/>
  <c r="E5" i="20"/>
  <c r="H4" i="20"/>
  <c r="D4" i="20"/>
  <c r="G3" i="20"/>
  <c r="C3" i="20"/>
  <c r="I7" i="20"/>
  <c r="G5" i="20"/>
  <c r="I3" i="20"/>
  <c r="G8" i="20"/>
  <c r="C8" i="20"/>
  <c r="F7" i="20"/>
  <c r="I6" i="20"/>
  <c r="E6" i="20"/>
  <c r="H5" i="20"/>
  <c r="D5" i="20"/>
  <c r="G4" i="20"/>
  <c r="C4" i="20"/>
  <c r="F3" i="20"/>
  <c r="F8" i="20"/>
  <c r="H6" i="20"/>
  <c r="C5" i="20"/>
  <c r="E3" i="20"/>
  <c r="I8" i="19"/>
  <c r="E8" i="19"/>
  <c r="H7" i="19"/>
  <c r="D7" i="19"/>
  <c r="G6" i="19"/>
  <c r="C6" i="19"/>
  <c r="F5" i="19"/>
  <c r="I4" i="19"/>
  <c r="E4" i="19"/>
  <c r="H3" i="19"/>
  <c r="D3" i="19"/>
  <c r="F4" i="19"/>
  <c r="E3" i="19"/>
  <c r="H8" i="19"/>
  <c r="D8" i="19"/>
  <c r="G7" i="19"/>
  <c r="C7" i="19"/>
  <c r="F6" i="19"/>
  <c r="I5" i="19"/>
  <c r="E5" i="19"/>
  <c r="H4" i="19"/>
  <c r="D4" i="19"/>
  <c r="G3" i="19"/>
  <c r="C3" i="19"/>
  <c r="C5" i="19"/>
  <c r="G8" i="19"/>
  <c r="C8" i="19"/>
  <c r="F7" i="19"/>
  <c r="I6" i="19"/>
  <c r="E6" i="19"/>
  <c r="H5" i="19"/>
  <c r="D5" i="19"/>
  <c r="G4" i="19"/>
  <c r="C4" i="19"/>
  <c r="F3" i="19"/>
  <c r="F8" i="19"/>
  <c r="I7" i="19"/>
  <c r="E7" i="19"/>
  <c r="H6" i="19"/>
  <c r="D6" i="19"/>
  <c r="G5" i="19"/>
  <c r="I3" i="19"/>
  <c r="I8" i="17"/>
  <c r="E8" i="17"/>
  <c r="H7" i="17"/>
  <c r="D7" i="17"/>
  <c r="G6" i="17"/>
  <c r="C6" i="17"/>
  <c r="F5" i="17"/>
  <c r="I4" i="17"/>
  <c r="E4" i="17"/>
  <c r="H3" i="17"/>
  <c r="D3" i="17"/>
  <c r="H8" i="17"/>
  <c r="D8" i="17"/>
  <c r="G7" i="17"/>
  <c r="C7" i="17"/>
  <c r="F6" i="17"/>
  <c r="I5" i="17"/>
  <c r="E5" i="17"/>
  <c r="H4" i="17"/>
  <c r="D4" i="17"/>
  <c r="G3" i="17"/>
  <c r="C3" i="17"/>
  <c r="G8" i="17"/>
  <c r="C8" i="17"/>
  <c r="F7" i="17"/>
  <c r="I6" i="17"/>
  <c r="E6" i="17"/>
  <c r="H5" i="17"/>
  <c r="D5" i="17"/>
  <c r="G4" i="17"/>
  <c r="C4" i="17"/>
  <c r="F3" i="17"/>
  <c r="F8" i="17"/>
  <c r="I7" i="17"/>
  <c r="E7" i="17"/>
  <c r="H6" i="17"/>
  <c r="D6" i="17"/>
  <c r="G5" i="17"/>
  <c r="C5" i="17"/>
  <c r="F4" i="17"/>
  <c r="I3" i="17"/>
  <c r="E3" i="17"/>
  <c r="I8" i="6" l="1"/>
  <c r="H8" i="6"/>
  <c r="G8" i="6"/>
  <c r="F8" i="6"/>
  <c r="E8" i="6"/>
  <c r="D8" i="6"/>
  <c r="C8" i="6"/>
  <c r="I7" i="6"/>
  <c r="H7" i="6"/>
  <c r="G7" i="6"/>
  <c r="F7" i="6"/>
  <c r="E7" i="6"/>
  <c r="D7" i="6"/>
  <c r="C7" i="6"/>
  <c r="I6" i="6"/>
  <c r="H6" i="6"/>
  <c r="G6" i="6"/>
  <c r="F6" i="6"/>
  <c r="E6" i="6"/>
  <c r="D6" i="6"/>
  <c r="C6" i="6"/>
  <c r="I5" i="6"/>
  <c r="H5" i="6"/>
  <c r="G5" i="6"/>
  <c r="F5" i="6"/>
  <c r="E5" i="6"/>
  <c r="D5" i="6"/>
  <c r="C5" i="6"/>
  <c r="I4" i="6"/>
  <c r="H4" i="6"/>
  <c r="G4" i="6"/>
  <c r="F4" i="6"/>
  <c r="E4" i="6"/>
  <c r="D4" i="6"/>
  <c r="C4" i="6"/>
  <c r="I3" i="6"/>
  <c r="H3" i="6"/>
  <c r="G3" i="6"/>
  <c r="F3" i="6"/>
  <c r="E3" i="6"/>
  <c r="D3" i="6"/>
  <c r="C3" i="6"/>
  <c r="H3" i="1"/>
  <c r="I8" i="1"/>
  <c r="H8" i="1"/>
  <c r="G8" i="1"/>
  <c r="F8" i="1"/>
  <c r="E8" i="1"/>
  <c r="D8" i="1"/>
  <c r="C8" i="1"/>
  <c r="I7" i="1"/>
  <c r="H7" i="1"/>
  <c r="G7" i="1"/>
  <c r="F7" i="1"/>
  <c r="E7" i="1"/>
  <c r="D7" i="1"/>
  <c r="C7" i="1"/>
  <c r="I6" i="1"/>
  <c r="H6" i="1"/>
  <c r="G6" i="1"/>
  <c r="F6" i="1"/>
  <c r="E6" i="1"/>
  <c r="D6" i="1"/>
  <c r="C6" i="1"/>
  <c r="I5" i="1"/>
  <c r="H5" i="1"/>
  <c r="G5" i="1"/>
  <c r="F5" i="1"/>
  <c r="E5" i="1"/>
  <c r="D5" i="1"/>
  <c r="C5" i="1"/>
  <c r="I4" i="1"/>
  <c r="H4" i="1"/>
  <c r="G4" i="1"/>
  <c r="F4" i="1"/>
  <c r="E4" i="1"/>
  <c r="D4" i="1"/>
  <c r="C4" i="1"/>
  <c r="I3" i="1"/>
  <c r="G3" i="1"/>
  <c r="F3" i="1"/>
  <c r="E3" i="1"/>
  <c r="D3" i="1"/>
  <c r="C3" i="1"/>
</calcChain>
</file>

<file path=xl/sharedStrings.xml><?xml version="1.0" encoding="utf-8"?>
<sst xmlns="http://schemas.openxmlformats.org/spreadsheetml/2006/main" count="772" uniqueCount="37">
  <si>
    <t>Día de la semana</t>
  </si>
  <si>
    <t>Hora</t>
  </si>
  <si>
    <t>Clase</t>
  </si>
  <si>
    <t>ENE</t>
  </si>
  <si>
    <t>PROGRAMACIÓN SEMANAL</t>
  </si>
  <si>
    <t>Francés</t>
  </si>
  <si>
    <t>10:00</t>
  </si>
  <si>
    <t>Matemáticas</t>
  </si>
  <si>
    <t>14:00</t>
  </si>
  <si>
    <t>Inglés</t>
  </si>
  <si>
    <t>Escriba el año natural en la celda B1 a la izquierda.</t>
  </si>
  <si>
    <t>Historia del arte</t>
  </si>
  <si>
    <t>16:00</t>
  </si>
  <si>
    <t>Programación</t>
  </si>
  <si>
    <t>día de calendario</t>
  </si>
  <si>
    <t>TAREAS</t>
  </si>
  <si>
    <t>Francés: Fecha de entrega del borrador del primer artículo</t>
  </si>
  <si>
    <t>Historia del arte: Prueba</t>
  </si>
  <si>
    <t>FEB</t>
  </si>
  <si>
    <t>MAR</t>
  </si>
  <si>
    <t>ABR</t>
  </si>
  <si>
    <t xml:space="preserve"> </t>
  </si>
  <si>
    <t>MAY</t>
  </si>
  <si>
    <t>JUN</t>
  </si>
  <si>
    <t>JUL</t>
  </si>
  <si>
    <t>AGO</t>
  </si>
  <si>
    <t>SEP</t>
  </si>
  <si>
    <t>OCT</t>
  </si>
  <si>
    <t>NOV</t>
  </si>
  <si>
    <t>DIC</t>
  </si>
  <si>
    <t>LU</t>
  </si>
  <si>
    <t>MA</t>
  </si>
  <si>
    <t>MI</t>
  </si>
  <si>
    <t>JU</t>
  </si>
  <si>
    <t>VI</t>
  </si>
  <si>
    <t>SÁ</t>
  </si>
  <si>
    <t>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</si>
</sst>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 numFmtId="169" formatCode="[$-C0A]mmmmm;@"/>
  </numFmts>
  <fonts count="16" x14ac:knownFonts="1">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8"/>
      <color theme="4" tint="-0.499984740745262"/>
      <name val="Arial"/>
      <family val="2"/>
      <scheme val="major"/>
    </font>
    <font>
      <sz val="11"/>
      <name val="Arial"/>
      <family val="2"/>
      <scheme val="minor"/>
    </font>
    <font>
      <sz val="11"/>
      <color theme="1"/>
      <name val="Arial"/>
      <family val="2"/>
      <scheme val="major"/>
    </font>
    <font>
      <sz val="11"/>
      <color indexed="8"/>
      <name val="Arial"/>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s>
  <borders count="11">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s>
  <cellStyleXfs count="22">
    <xf numFmtId="0" fontId="0" fillId="0" borderId="0">
      <alignment wrapText="1"/>
    </xf>
    <xf numFmtId="0" fontId="12" fillId="0" borderId="0" applyFill="0" applyBorder="0" applyProtection="0">
      <alignment horizontal="center" vertical="center"/>
    </xf>
    <xf numFmtId="169" fontId="7" fillId="0" borderId="0" applyFill="0" applyBorder="0" applyProtection="0">
      <alignment horizontal="center" vertical="center"/>
    </xf>
    <xf numFmtId="0" fontId="8" fillId="0" borderId="0" applyFill="0" applyProtection="0">
      <alignment horizontal="left" vertical="center" indent="2"/>
    </xf>
    <xf numFmtId="0" fontId="9" fillId="0" borderId="0" applyNumberFormat="0" applyFill="0" applyBorder="0" applyProtection="0">
      <alignment horizontal="left" vertical="center"/>
    </xf>
    <xf numFmtId="0" fontId="9" fillId="0" borderId="0" applyFill="0" applyBorder="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5" fillId="3" borderId="5" applyNumberFormat="0" applyAlignment="0" applyProtection="0"/>
    <xf numFmtId="0" fontId="6" fillId="4" borderId="1">
      <alignment horizontal="left" indent="1"/>
    </xf>
    <xf numFmtId="0" fontId="10" fillId="0" borderId="0">
      <alignment vertical="center"/>
    </xf>
    <xf numFmtId="0" fontId="10" fillId="0" borderId="6" applyNumberFormat="0" applyFont="0" applyFill="0" applyAlignment="0" applyProtection="0">
      <alignment horizontal="left" vertical="center" indent="2"/>
    </xf>
    <xf numFmtId="1" fontId="11"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8" fontId="4" fillId="0" borderId="0" applyNumberFormat="0" applyFill="0" applyBorder="0">
      <alignment horizontal="left" vertical="center" indent="1"/>
    </xf>
    <xf numFmtId="0" fontId="13" fillId="2" borderId="0" applyFont="0" applyBorder="0">
      <alignment horizontal="left" vertical="top" indent="1"/>
    </xf>
    <xf numFmtId="0" fontId="6" fillId="0" borderId="0" applyNumberFormat="0" applyFill="0" applyBorder="0" applyAlignment="0">
      <alignment wrapText="1"/>
    </xf>
    <xf numFmtId="20" fontId="13" fillId="2" borderId="0" applyFill="0" applyBorder="0">
      <alignment horizontal="left" indent="1"/>
    </xf>
  </cellStyleXfs>
  <cellXfs count="70">
    <xf numFmtId="0" fontId="0" fillId="0" borderId="0" xfId="0">
      <alignment wrapText="1"/>
    </xf>
    <xf numFmtId="0" fontId="0" fillId="0" borderId="0" xfId="0" applyFont="1">
      <alignment wrapText="1"/>
    </xf>
    <xf numFmtId="0" fontId="0" fillId="0" borderId="0" xfId="0">
      <alignment wrapText="1"/>
    </xf>
    <xf numFmtId="0" fontId="6" fillId="4" borderId="9" xfId="17" applyFont="1" applyFill="1" applyAlignment="1">
      <alignment horizontal="left" indent="1"/>
    </xf>
    <xf numFmtId="0" fontId="9" fillId="0" borderId="6" xfId="14" applyFont="1" applyAlignment="1">
      <alignment vertical="center"/>
    </xf>
    <xf numFmtId="0" fontId="10" fillId="0" borderId="0" xfId="13">
      <alignment vertical="center"/>
    </xf>
    <xf numFmtId="168" fontId="4" fillId="0" borderId="0" xfId="18" applyNumberFormat="1" applyFill="1" applyBorder="1">
      <alignment horizontal="left" vertical="center" indent="1"/>
    </xf>
    <xf numFmtId="0" fontId="4" fillId="0" borderId="6" xfId="14" applyNumberFormat="1" applyFont="1" applyAlignment="1">
      <alignment horizontal="left" vertical="center" indent="1"/>
    </xf>
    <xf numFmtId="0" fontId="12" fillId="0" borderId="7" xfId="1" applyBorder="1">
      <alignment horizontal="center" vertical="center"/>
    </xf>
    <xf numFmtId="0" fontId="0" fillId="0" borderId="0" xfId="14" applyFont="1" applyBorder="1" applyAlignment="1">
      <alignment wrapText="1"/>
    </xf>
    <xf numFmtId="0" fontId="9" fillId="0" borderId="0" xfId="5"/>
    <xf numFmtId="0" fontId="8"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6" fillId="4" borderId="1" xfId="12">
      <alignment horizontal="left" indent="1"/>
    </xf>
    <xf numFmtId="0" fontId="9" fillId="0" borderId="0" xfId="5" applyFill="1"/>
    <xf numFmtId="0" fontId="9" fillId="0" borderId="0" xfId="4">
      <alignment horizontal="left" vertical="center"/>
    </xf>
    <xf numFmtId="0" fontId="0" fillId="0" borderId="0" xfId="0">
      <alignment wrapText="1"/>
    </xf>
    <xf numFmtId="0" fontId="0" fillId="0" borderId="7" xfId="16" applyFont="1" applyAlignment="1">
      <alignment wrapText="1"/>
    </xf>
    <xf numFmtId="0" fontId="6" fillId="0" borderId="0" xfId="20">
      <alignment wrapText="1"/>
    </xf>
    <xf numFmtId="0" fontId="9" fillId="0" borderId="7" xfId="5" applyBorder="1"/>
    <xf numFmtId="20" fontId="13" fillId="2" borderId="0" xfId="21">
      <alignment horizontal="left" indent="1"/>
    </xf>
    <xf numFmtId="20" fontId="13" fillId="2" borderId="3" xfId="21" applyBorder="1">
      <alignment horizontal="left" indent="1"/>
    </xf>
    <xf numFmtId="169" fontId="7" fillId="0" borderId="6" xfId="2" applyBorder="1">
      <alignment horizontal="center" vertical="center"/>
    </xf>
    <xf numFmtId="20" fontId="13" fillId="2" borderId="4" xfId="21" applyBorder="1">
      <alignment horizontal="left" indent="1"/>
    </xf>
    <xf numFmtId="0" fontId="6" fillId="4" borderId="1" xfId="12">
      <alignment horizontal="left" indent="1"/>
    </xf>
    <xf numFmtId="0" fontId="6" fillId="0" borderId="9" xfId="20" applyBorder="1" applyAlignment="1">
      <alignment wrapText="1"/>
    </xf>
    <xf numFmtId="0" fontId="0" fillId="2" borderId="0" xfId="19" applyFont="1">
      <alignment horizontal="left" vertical="top" indent="1"/>
    </xf>
    <xf numFmtId="0" fontId="0" fillId="2" borderId="7" xfId="19" applyFont="1" applyBorder="1">
      <alignment horizontal="left" vertical="top" indent="1"/>
    </xf>
    <xf numFmtId="0" fontId="1" fillId="2" borderId="7" xfId="19" applyFont="1" applyBorder="1">
      <alignment horizontal="left" vertical="top" indent="1"/>
    </xf>
    <xf numFmtId="0" fontId="1" fillId="2" borderId="0" xfId="19" applyFont="1">
      <alignment horizontal="left" vertical="top" indent="1"/>
    </xf>
    <xf numFmtId="0" fontId="13" fillId="2" borderId="7" xfId="19" applyBorder="1">
      <alignment horizontal="left" vertical="top" indent="1"/>
    </xf>
    <xf numFmtId="0" fontId="9" fillId="0" borderId="6" xfId="5" applyBorder="1"/>
    <xf numFmtId="20" fontId="13" fillId="2" borderId="0" xfId="21">
      <alignment horizontal="left" indent="1"/>
    </xf>
    <xf numFmtId="169" fontId="7" fillId="0" borderId="0" xfId="2" applyNumberFormat="1">
      <alignment horizontal="center" vertical="center"/>
    </xf>
    <xf numFmtId="20" fontId="13" fillId="2" borderId="0" xfId="21" applyNumberFormat="1">
      <alignment horizontal="left" indent="1"/>
    </xf>
    <xf numFmtId="20" fontId="13" fillId="2" borderId="0" xfId="21" applyNumberFormat="1">
      <alignment horizontal="left" indent="1"/>
    </xf>
    <xf numFmtId="20" fontId="13" fillId="2" borderId="3" xfId="21" applyNumberFormat="1" applyBorder="1">
      <alignment horizontal="left" indent="1"/>
    </xf>
    <xf numFmtId="20" fontId="13" fillId="2" borderId="4" xfId="21" applyNumberFormat="1" applyBorder="1">
      <alignment horizontal="left" indent="1"/>
    </xf>
    <xf numFmtId="1" fontId="11" fillId="0" borderId="7" xfId="15" applyFill="1" applyBorder="1">
      <alignment horizontal="center"/>
    </xf>
    <xf numFmtId="1" fontId="11" fillId="0" borderId="0" xfId="15" applyFill="1">
      <alignment horizontal="center"/>
    </xf>
    <xf numFmtId="1" fontId="11" fillId="0" borderId="6" xfId="15" applyFill="1" applyBorder="1">
      <alignment horizontal="center"/>
    </xf>
    <xf numFmtId="0" fontId="9" fillId="0" borderId="7" xfId="5" applyFill="1" applyBorder="1"/>
    <xf numFmtId="168" fontId="4" fillId="0" borderId="7" xfId="18" applyNumberFormat="1" applyFill="1" applyBorder="1">
      <alignment horizontal="left" vertical="center" indent="1"/>
    </xf>
    <xf numFmtId="0" fontId="1" fillId="2" borderId="7" xfId="19" applyFont="1" applyBorder="1">
      <alignment horizontal="left" vertical="top" indent="1"/>
    </xf>
    <xf numFmtId="20" fontId="13" fillId="2" borderId="0" xfId="21" applyNumberFormat="1">
      <alignment horizontal="left" indent="1"/>
    </xf>
    <xf numFmtId="1" fontId="11" fillId="0" borderId="0" xfId="15" applyFill="1" applyBorder="1">
      <alignment horizontal="center"/>
    </xf>
    <xf numFmtId="0" fontId="1" fillId="2" borderId="0" xfId="19" applyFont="1" applyBorder="1">
      <alignment horizontal="left" vertical="top" indent="1"/>
    </xf>
    <xf numFmtId="20" fontId="13" fillId="2" borderId="0" xfId="21" applyNumberFormat="1" applyBorder="1">
      <alignment horizontal="left" indent="1"/>
    </xf>
    <xf numFmtId="0" fontId="9" fillId="0" borderId="0" xfId="5" applyBorder="1"/>
    <xf numFmtId="0" fontId="14" fillId="2" borderId="0" xfId="19" applyFont="1" applyBorder="1">
      <alignment horizontal="left" vertical="top" indent="1"/>
    </xf>
    <xf numFmtId="0" fontId="15" fillId="2" borderId="0" xfId="19" applyFont="1">
      <alignment horizontal="left" vertical="top" indent="1"/>
    </xf>
    <xf numFmtId="0" fontId="0" fillId="0" borderId="0" xfId="0" applyFont="1" applyBorder="1" applyAlignment="1">
      <alignment wrapText="1"/>
    </xf>
    <xf numFmtId="0" fontId="0" fillId="0" borderId="0" xfId="0" applyAlignment="1">
      <alignment wrapText="1"/>
    </xf>
    <xf numFmtId="0" fontId="3" fillId="0" borderId="7" xfId="16" applyFont="1" applyAlignment="1">
      <alignment wrapText="1"/>
    </xf>
    <xf numFmtId="168" fontId="4" fillId="0" borderId="0" xfId="0" applyNumberFormat="1" applyFont="1" applyFill="1" applyAlignment="1">
      <alignment wrapText="1"/>
    </xf>
    <xf numFmtId="20" fontId="13" fillId="0" borderId="7" xfId="16" applyNumberFormat="1" applyFill="1" applyAlignment="1"/>
    <xf numFmtId="0" fontId="0" fillId="0" borderId="6" xfId="14" applyFont="1" applyAlignment="1">
      <alignment wrapText="1"/>
    </xf>
    <xf numFmtId="0" fontId="6" fillId="4" borderId="8" xfId="12" applyBorder="1">
      <alignment horizontal="left" indent="1"/>
    </xf>
    <xf numFmtId="0" fontId="6" fillId="4" borderId="2" xfId="12" applyBorder="1">
      <alignment horizontal="left" indent="1"/>
    </xf>
    <xf numFmtId="0" fontId="1" fillId="2" borderId="0" xfId="19" applyFont="1">
      <alignment horizontal="left" vertical="top" indent="1"/>
    </xf>
    <xf numFmtId="20" fontId="13" fillId="2" borderId="10" xfId="21" applyNumberFormat="1" applyBorder="1">
      <alignment horizontal="left" indent="1"/>
    </xf>
    <xf numFmtId="0" fontId="1" fillId="2" borderId="7" xfId="19" applyFont="1" applyBorder="1">
      <alignment horizontal="left" vertical="top" indent="1"/>
    </xf>
    <xf numFmtId="20" fontId="13" fillId="2" borderId="0" xfId="21" applyNumberFormat="1">
      <alignment horizontal="left" indent="1"/>
    </xf>
    <xf numFmtId="20" fontId="13" fillId="2" borderId="3" xfId="21" applyNumberFormat="1" applyBorder="1">
      <alignment horizontal="left" indent="1"/>
    </xf>
    <xf numFmtId="20" fontId="13" fillId="2" borderId="10" xfId="21" applyBorder="1">
      <alignment horizontal="left" indent="1"/>
    </xf>
    <xf numFmtId="20" fontId="13" fillId="2" borderId="0" xfId="21">
      <alignment horizontal="left" indent="1"/>
    </xf>
    <xf numFmtId="0" fontId="13" fillId="2" borderId="7" xfId="19" applyBorder="1">
      <alignment horizontal="left" vertical="top" indent="1"/>
    </xf>
    <xf numFmtId="0" fontId="0" fillId="0" borderId="6" xfId="0" applyBorder="1" applyAlignment="1">
      <alignment wrapText="1"/>
    </xf>
    <xf numFmtId="0" fontId="0" fillId="0" borderId="0" xfId="0" applyBorder="1" applyAlignment="1">
      <alignment wrapText="1"/>
    </xf>
  </cellXfs>
  <cellStyles count="22">
    <cellStyle name="Alineación del calendario" xfId="18"/>
    <cellStyle name="Borde derecho" xfId="17"/>
    <cellStyle name="Borde inferior" xfId="16"/>
    <cellStyle name="Borde superior" xfId="14"/>
    <cellStyle name="Días de la semana" xfId="12"/>
    <cellStyle name="Encabezado 1" xfId="2" builtinId="16" customBuiltin="1"/>
    <cellStyle name="Encabezado 4" xfId="5" builtinId="19" customBuiltin="1"/>
    <cellStyle name="Encabezado de la tabla en blanco" xfId="20"/>
    <cellStyle name="Etiqueta" xfId="13"/>
    <cellStyle name="Fecha" xfId="15"/>
    <cellStyle name="Hora" xfId="21"/>
    <cellStyle name="Millares" xfId="6" builtinId="3" customBuiltin="1"/>
    <cellStyle name="Millares [0]" xfId="7" builtinId="6" customBuiltin="1"/>
    <cellStyle name="Moneda" xfId="8" builtinId="4" customBuiltin="1"/>
    <cellStyle name="Moneda [0]" xfId="9" builtinId="7" customBuiltin="1"/>
    <cellStyle name="Normal" xfId="0" builtinId="0" customBuiltin="1"/>
    <cellStyle name="Notas" xfId="11" builtinId="10" customBuiltin="1"/>
    <cellStyle name="Porcentaje" xfId="10" builtinId="5" customBuiltin="1"/>
    <cellStyle name="Relleno de programación semanal" xfId="19"/>
    <cellStyle name="Título" xfId="1" builtinId="15" customBuiltin="1"/>
    <cellStyle name="Título 2" xfId="3" builtinId="17" customBuiltin="1"/>
    <cellStyle name="Título 3" xfId="4" builtinId="18" customBuiltin="1"/>
  </cellStyles>
  <dxfs count="101">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left style="thin">
          <color theme="0"/>
        </left>
        <vertical/>
        <horizontal/>
      </border>
    </dxf>
    <dxf>
      <border>
        <bottom style="thin">
          <color theme="0"/>
        </bottom>
        <vertical/>
        <horizontal/>
      </border>
    </dxf>
    <dxf>
      <border>
        <left style="thin">
          <color theme="0"/>
        </left>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wrapText="1" indent="0" justifyLastLine="0" shrinkToFit="0" readingOrder="0"/>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Tareas" defaultPivotStyle="PivotStyleLight16">
    <tableStyle name="Tareas" pivot="0" count="3">
      <tableStyleElement type="wholeTable" dxfId="100"/>
      <tableStyleElement type="headerRow" dxfId="99"/>
      <tableStyleElement type="firstColumn"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EneroTareas" displayName="Ener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90"/>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10.xml><?xml version="1.0" encoding="utf-8"?>
<table xmlns="http://schemas.openxmlformats.org/spreadsheetml/2006/main" id="10" name="OctubreTareas" displayName="Octubre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16"/>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11.xml><?xml version="1.0" encoding="utf-8"?>
<table xmlns="http://schemas.openxmlformats.org/spreadsheetml/2006/main" id="11" name="NoviembreTareas" displayName="Noviembre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8"/>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12.xml><?xml version="1.0" encoding="utf-8"?>
<table xmlns="http://schemas.openxmlformats.org/spreadsheetml/2006/main" id="12" name="DiciembreTareas" displayName="DiciembreTareas" ref="J1:L31" totalsRowShown="0" dataCellStyle="Normal">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0" dataCellStyle="Normal"/>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2.xml><?xml version="1.0" encoding="utf-8"?>
<table xmlns="http://schemas.openxmlformats.org/spreadsheetml/2006/main" id="2" name="FebreroTareas" displayName="Febrer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82" dataCellStyle="Normal"/>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3.xml><?xml version="1.0" encoding="utf-8"?>
<table xmlns="http://schemas.openxmlformats.org/spreadsheetml/2006/main" id="3" name="MarzoTareas" displayName="Marz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74"/>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4.xml><?xml version="1.0" encoding="utf-8"?>
<table xmlns="http://schemas.openxmlformats.org/spreadsheetml/2006/main" id="4" name="AbrilTareas" displayName="Abril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66"/>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5.xml><?xml version="1.0" encoding="utf-8"?>
<table xmlns="http://schemas.openxmlformats.org/spreadsheetml/2006/main" id="5" name="MayoTareas" displayName="May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58"/>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6.xml><?xml version="1.0" encoding="utf-8"?>
<table xmlns="http://schemas.openxmlformats.org/spreadsheetml/2006/main" id="6" name="JunioTareas" displayName="Juni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50"/>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7.xml><?xml version="1.0" encoding="utf-8"?>
<table xmlns="http://schemas.openxmlformats.org/spreadsheetml/2006/main" id="7" name="JulioTareas" displayName="Juli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42"/>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8.xml><?xml version="1.0" encoding="utf-8"?>
<table xmlns="http://schemas.openxmlformats.org/spreadsheetml/2006/main" id="8" name="AgostoTareas" displayName="Agosto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34"/>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ables/table9.xml><?xml version="1.0" encoding="utf-8"?>
<table xmlns="http://schemas.openxmlformats.org/spreadsheetml/2006/main" id="9" name="SeptiembreTareas" displayName="SeptiembreTareas" ref="J1:L31" totalsRowShown="0">
  <autoFilter ref="J1:L31">
    <filterColumn colId="0" hiddenButton="1"/>
    <filterColumn colId="1" hiddenButton="1"/>
    <filterColumn colId="2" hiddenButton="1"/>
  </autoFilter>
  <tableColumns count="3">
    <tableColumn id="1" name="Día de la semana" dataCellStyle="Encabezado 4"/>
    <tableColumn id="2" name="día de calendario" dataCellStyle="Fecha"/>
    <tableColumn id="3" name="TAREAS" dataDxfId="26"/>
  </tableColumns>
  <tableStyleInfo name="Tareas" showFirstColumn="1" showLastColumn="0" showRowStripes="1" showColumnStripes="0"/>
  <extLst>
    <ext xmlns:x14="http://schemas.microsoft.com/office/spreadsheetml/2009/9/main" uri="{504A1905-F514-4f6f-8877-14C23A59335A}">
      <x14:table altTextSummary="Escriba un día y una tarea para el día de la semana en la columna J. Las tareas aparecerán resaltadas en el calendario para este mes en esta hoja de cálculo."/>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L31"/>
  <sheetViews>
    <sheetView showGridLines="0" tabSelected="1" zoomScaleNormal="100" zoomScalePageLayoutView="84" workbookViewId="0"/>
  </sheetViews>
  <sheetFormatPr baseColWidth="10" defaultColWidth="8.625" defaultRowHeight="30" customHeight="1" x14ac:dyDescent="0.2"/>
  <cols>
    <col min="1" max="1" width="2.625" customWidth="1"/>
    <col min="2" max="2" width="20.625" customWidth="1"/>
    <col min="3" max="8" width="10.625" customWidth="1"/>
    <col min="9" max="9" width="20.625" customWidth="1"/>
    <col min="10" max="11" width="10.625" customWidth="1"/>
    <col min="12" max="12" width="70.625" customWidth="1"/>
    <col min="13" max="13" width="2.625" customWidth="1"/>
    <col min="14" max="14" width="8.625" customWidth="1"/>
  </cols>
  <sheetData>
    <row r="1" spans="1:12" ht="30" customHeight="1" x14ac:dyDescent="0.2">
      <c r="A1" s="17"/>
      <c r="B1" s="8">
        <f ca="1">YEAR(TODAY())</f>
        <v>2017</v>
      </c>
      <c r="C1" s="5" t="s">
        <v>10</v>
      </c>
      <c r="D1" s="1"/>
      <c r="E1" s="1"/>
      <c r="F1" s="1"/>
      <c r="G1" s="1"/>
      <c r="H1" s="1"/>
      <c r="I1" s="1"/>
      <c r="J1" s="19" t="s">
        <v>0</v>
      </c>
      <c r="K1" s="19" t="s">
        <v>14</v>
      </c>
      <c r="L1" s="11" t="s">
        <v>15</v>
      </c>
    </row>
    <row r="2" spans="1:12" ht="30" customHeight="1" x14ac:dyDescent="0.25">
      <c r="A2" s="13"/>
      <c r="B2" s="34" t="s">
        <v>3</v>
      </c>
      <c r="C2" s="7" t="s">
        <v>30</v>
      </c>
      <c r="D2" s="7" t="s">
        <v>31</v>
      </c>
      <c r="E2" s="7" t="s">
        <v>32</v>
      </c>
      <c r="F2" s="7" t="s">
        <v>33</v>
      </c>
      <c r="G2" s="7" t="s">
        <v>34</v>
      </c>
      <c r="H2" s="7" t="s">
        <v>35</v>
      </c>
      <c r="I2" s="7" t="s">
        <v>36</v>
      </c>
      <c r="J2" s="10" t="s">
        <v>30</v>
      </c>
      <c r="K2" s="46">
        <v>2</v>
      </c>
      <c r="L2" s="52" t="s">
        <v>16</v>
      </c>
    </row>
    <row r="3" spans="1:12" ht="30" customHeight="1" x14ac:dyDescent="0.25">
      <c r="A3" s="13"/>
      <c r="B3" s="17"/>
      <c r="C3" s="6">
        <f ca="1">IF(DAY(JanDom1)=1,JanDom1-6,JanDom1+1)</f>
        <v>42730</v>
      </c>
      <c r="D3" s="6">
        <f ca="1">IF(DAY(JanDom1)=1,JanDom1-5,JanDom1+2)</f>
        <v>42731</v>
      </c>
      <c r="E3" s="6">
        <f ca="1">IF(DAY(JanDom1)=1,JanDom1-4,JanDom1+3)</f>
        <v>42732</v>
      </c>
      <c r="F3" s="6">
        <f ca="1">IF(DAY(JanDom1)=1,JanDom1-3,JanDom1+4)</f>
        <v>42733</v>
      </c>
      <c r="G3" s="6">
        <f ca="1">IF(DAY(JanDom1)=1,JanDom1-2,JanDom1+5)</f>
        <v>42734</v>
      </c>
      <c r="H3" s="6">
        <f ca="1">IF(DAY(JanDom1)=1,JanDom1-1,JanDom1+6)</f>
        <v>42735</v>
      </c>
      <c r="I3" s="6">
        <f ca="1">IF(DAY(JanDom1)=1,JanDom1,JanDom1+7)</f>
        <v>42736</v>
      </c>
      <c r="J3" s="10"/>
      <c r="K3" s="40"/>
      <c r="L3" s="52"/>
    </row>
    <row r="4" spans="1:12" ht="30" customHeight="1" x14ac:dyDescent="0.25">
      <c r="A4" s="13"/>
      <c r="B4" s="17"/>
      <c r="C4" s="6">
        <f ca="1">IF(DAY(JanDom1)=1,JanDom1+1,JanDom1+8)</f>
        <v>42737</v>
      </c>
      <c r="D4" s="6">
        <f ca="1">IF(DAY(JanDom1)=1,JanDom1+2,JanDom1+9)</f>
        <v>42738</v>
      </c>
      <c r="E4" s="6">
        <f ca="1">IF(DAY(JanDom1)=1,JanDom1+3,JanDom1+10)</f>
        <v>42739</v>
      </c>
      <c r="F4" s="6">
        <f ca="1">IF(DAY(JanDom1)=1,JanDom1+4,JanDom1+11)</f>
        <v>42740</v>
      </c>
      <c r="G4" s="6">
        <f ca="1">IF(DAY(JanDom1)=1,JanDom1+5,JanDom1+12)</f>
        <v>42741</v>
      </c>
      <c r="H4" s="6">
        <f ca="1">IF(DAY(JanDom1)=1,JanDom1+6,JanDom1+13)</f>
        <v>42742</v>
      </c>
      <c r="I4" s="6">
        <f ca="1">IF(DAY(JanDom1)=1,JanDom1+7,JanDom1+14)</f>
        <v>42743</v>
      </c>
      <c r="J4" s="10"/>
      <c r="K4" s="40"/>
      <c r="L4" s="52"/>
    </row>
    <row r="5" spans="1:12" ht="30" customHeight="1" x14ac:dyDescent="0.25">
      <c r="A5" s="13"/>
      <c r="B5" s="17"/>
      <c r="C5" s="6">
        <f ca="1">IF(DAY(JanDom1)=1,JanDom1+8,JanDom1+15)</f>
        <v>42744</v>
      </c>
      <c r="D5" s="6">
        <f ca="1">IF(DAY(JanDom1)=1,JanDom1+9,JanDom1+16)</f>
        <v>42745</v>
      </c>
      <c r="E5" s="6">
        <f ca="1">IF(DAY(JanDom1)=1,JanDom1+10,JanDom1+17)</f>
        <v>42746</v>
      </c>
      <c r="F5" s="6">
        <f ca="1">IF(DAY(JanDom1)=1,JanDom1+11,JanDom1+18)</f>
        <v>42747</v>
      </c>
      <c r="G5" s="6">
        <f ca="1">IF(DAY(JanDom1)=1,JanDom1+12,JanDom1+19)</f>
        <v>42748</v>
      </c>
      <c r="H5" s="6">
        <f ca="1">IF(DAY(JanDom1)=1,JanDom1+13,JanDom1+20)</f>
        <v>42749</v>
      </c>
      <c r="I5" s="6">
        <f ca="1">IF(DAY(JanDom1)=1,JanDom1+14,JanDom1+21)</f>
        <v>42750</v>
      </c>
      <c r="J5" s="10"/>
      <c r="K5" s="40"/>
      <c r="L5" s="52"/>
    </row>
    <row r="6" spans="1:12" ht="30" customHeight="1" x14ac:dyDescent="0.25">
      <c r="A6" s="13"/>
      <c r="B6" s="17"/>
      <c r="C6" s="6">
        <f ca="1">IF(DAY(JanDom1)=1,JanDom1+15,JanDom1+22)</f>
        <v>42751</v>
      </c>
      <c r="D6" s="6">
        <f ca="1">IF(DAY(JanDom1)=1,JanDom1+16,JanDom1+23)</f>
        <v>42752</v>
      </c>
      <c r="E6" s="6">
        <f ca="1">IF(DAY(JanDom1)=1,JanDom1+17,JanDom1+24)</f>
        <v>42753</v>
      </c>
      <c r="F6" s="6">
        <f ca="1">IF(DAY(JanDom1)=1,JanDom1+18,JanDom1+25)</f>
        <v>42754</v>
      </c>
      <c r="G6" s="6">
        <f ca="1">IF(DAY(JanDom1)=1,JanDom1+19,JanDom1+26)</f>
        <v>42755</v>
      </c>
      <c r="H6" s="6">
        <f ca="1">IF(DAY(JanDom1)=1,JanDom1+20,JanDom1+27)</f>
        <v>42756</v>
      </c>
      <c r="I6" s="6">
        <f ca="1">IF(DAY(JanDom1)=1,JanDom1+21,JanDom1+28)</f>
        <v>42757</v>
      </c>
      <c r="J6" s="10"/>
      <c r="K6" s="40"/>
      <c r="L6" s="52"/>
    </row>
    <row r="7" spans="1:12" ht="30" customHeight="1" x14ac:dyDescent="0.25">
      <c r="A7" s="13"/>
      <c r="B7" s="17"/>
      <c r="C7" s="6">
        <f ca="1">IF(DAY(JanDom1)=1,JanDom1+22,JanDom1+29)</f>
        <v>42758</v>
      </c>
      <c r="D7" s="6">
        <f ca="1">IF(DAY(JanDom1)=1,JanDom1+23,JanDom1+30)</f>
        <v>42759</v>
      </c>
      <c r="E7" s="6">
        <f ca="1">IF(DAY(JanDom1)=1,JanDom1+24,JanDom1+31)</f>
        <v>42760</v>
      </c>
      <c r="F7" s="6">
        <f ca="1">IF(DAY(JanDom1)=1,JanDom1+25,JanDom1+32)</f>
        <v>42761</v>
      </c>
      <c r="G7" s="6">
        <f ca="1">IF(DAY(JanDom1)=1,JanDom1+26,JanDom1+33)</f>
        <v>42762</v>
      </c>
      <c r="H7" s="6">
        <f ca="1">IF(DAY(JanDom1)=1,JanDom1+27,JanDom1+34)</f>
        <v>42763</v>
      </c>
      <c r="I7" s="6">
        <f ca="1">IF(DAY(JanDom1)=1,JanDom1+28,JanDom1+35)</f>
        <v>42764</v>
      </c>
      <c r="J7" s="20"/>
      <c r="K7" s="39"/>
      <c r="L7" s="18"/>
    </row>
    <row r="8" spans="1:12" ht="30" customHeight="1" x14ac:dyDescent="0.25">
      <c r="A8" s="13"/>
      <c r="B8" s="18"/>
      <c r="C8" s="43">
        <f ca="1">IF(DAY(JanDom1)=1,JanDom1+29,JanDom1+36)</f>
        <v>42765</v>
      </c>
      <c r="D8" s="43">
        <f ca="1">IF(DAY(JanDom1)=1,JanDom1+30,JanDom1+37)</f>
        <v>42766</v>
      </c>
      <c r="E8" s="43">
        <f ca="1">IF(DAY(JanDom1)=1,JanDom1+31,JanDom1+38)</f>
        <v>42767</v>
      </c>
      <c r="F8" s="43">
        <f ca="1">IF(DAY(JanDom1)=1,JanDom1+32,JanDom1+39)</f>
        <v>42768</v>
      </c>
      <c r="G8" s="43">
        <f ca="1">IF(DAY(JanDom1)=1,JanDom1+33,JanDom1+40)</f>
        <v>42769</v>
      </c>
      <c r="H8" s="43">
        <f ca="1">IF(DAY(JanDom1)=1,JanDom1+34,JanDom1+41)</f>
        <v>42770</v>
      </c>
      <c r="I8" s="43">
        <f ca="1">IF(DAY(JanDom1)=1,JanDom1+35,JanDom1+42)</f>
        <v>42771</v>
      </c>
      <c r="J8" s="10" t="s">
        <v>31</v>
      </c>
      <c r="K8" s="40">
        <v>17</v>
      </c>
      <c r="L8" s="52" t="s">
        <v>17</v>
      </c>
    </row>
    <row r="9" spans="1:12" ht="30" customHeight="1" x14ac:dyDescent="0.25">
      <c r="A9" s="13"/>
      <c r="B9" s="17"/>
      <c r="C9" s="57"/>
      <c r="D9" s="57"/>
      <c r="E9" s="57"/>
      <c r="F9" s="57"/>
      <c r="G9" s="57"/>
      <c r="H9" s="57"/>
      <c r="I9" s="57"/>
      <c r="J9" s="10"/>
      <c r="K9" s="40"/>
      <c r="L9" s="52"/>
    </row>
    <row r="10" spans="1:12" ht="30" customHeight="1" x14ac:dyDescent="0.25">
      <c r="A10" s="13"/>
      <c r="B10" s="16" t="s">
        <v>4</v>
      </c>
      <c r="C10" s="9"/>
      <c r="D10" s="9"/>
      <c r="E10" s="9"/>
      <c r="F10" s="9"/>
      <c r="G10" s="9"/>
      <c r="H10" s="9"/>
      <c r="I10" s="9"/>
      <c r="J10" s="10"/>
      <c r="K10" s="40"/>
      <c r="L10" s="52"/>
    </row>
    <row r="11" spans="1:12" ht="30" customHeight="1" x14ac:dyDescent="0.25">
      <c r="A11" s="26" t="s">
        <v>0</v>
      </c>
      <c r="B11" s="14" t="s">
        <v>30</v>
      </c>
      <c r="C11" s="58" t="s">
        <v>31</v>
      </c>
      <c r="D11" s="59"/>
      <c r="E11" s="58" t="s">
        <v>32</v>
      </c>
      <c r="F11" s="59"/>
      <c r="G11" s="58" t="s">
        <v>33</v>
      </c>
      <c r="H11" s="59"/>
      <c r="I11" s="3" t="s">
        <v>34</v>
      </c>
      <c r="J11" s="10"/>
      <c r="K11" s="40"/>
      <c r="L11" s="52"/>
    </row>
    <row r="12" spans="1:12" ht="30" customHeight="1" x14ac:dyDescent="0.25">
      <c r="A12" s="26" t="s">
        <v>1</v>
      </c>
      <c r="B12" s="45">
        <v>0.33333333333333331</v>
      </c>
      <c r="C12" s="61"/>
      <c r="D12" s="61"/>
      <c r="E12" s="61">
        <v>0.33333333333333331</v>
      </c>
      <c r="F12" s="61"/>
      <c r="G12" s="61"/>
      <c r="H12" s="61"/>
      <c r="I12" s="48">
        <v>0.33333333333333331</v>
      </c>
      <c r="J12" s="49"/>
      <c r="K12" s="40"/>
      <c r="L12" s="52"/>
    </row>
    <row r="13" spans="1:12" ht="30" customHeight="1" x14ac:dyDescent="0.25">
      <c r="A13" s="26" t="s">
        <v>2</v>
      </c>
      <c r="B13" s="27" t="s">
        <v>5</v>
      </c>
      <c r="C13" s="60"/>
      <c r="D13" s="60"/>
      <c r="E13" s="60" t="s">
        <v>5</v>
      </c>
      <c r="F13" s="60"/>
      <c r="G13" s="60"/>
      <c r="H13" s="60"/>
      <c r="I13" s="47" t="s">
        <v>5</v>
      </c>
      <c r="J13" s="20"/>
      <c r="K13" s="39"/>
      <c r="L13" s="18"/>
    </row>
    <row r="14" spans="1:12" ht="30" customHeight="1" x14ac:dyDescent="0.25">
      <c r="A14" s="26" t="s">
        <v>1</v>
      </c>
      <c r="B14" s="35"/>
      <c r="C14" s="61">
        <v>0.375</v>
      </c>
      <c r="D14" s="61"/>
      <c r="E14" s="61"/>
      <c r="F14" s="61"/>
      <c r="G14" s="61">
        <v>0.375</v>
      </c>
      <c r="H14" s="64"/>
      <c r="I14" s="48"/>
      <c r="J14" s="10" t="s">
        <v>32</v>
      </c>
      <c r="K14" s="40"/>
      <c r="L14" s="52"/>
    </row>
    <row r="15" spans="1:12" ht="30" customHeight="1" x14ac:dyDescent="0.25">
      <c r="A15" s="26" t="s">
        <v>2</v>
      </c>
      <c r="B15" s="27"/>
      <c r="C15" s="60" t="s">
        <v>11</v>
      </c>
      <c r="D15" s="60"/>
      <c r="E15" s="60"/>
      <c r="F15" s="60"/>
      <c r="G15" s="60" t="s">
        <v>11</v>
      </c>
      <c r="H15" s="60"/>
      <c r="I15" s="47"/>
      <c r="J15" s="10"/>
      <c r="K15" s="40"/>
      <c r="L15" s="52"/>
    </row>
    <row r="16" spans="1:12" ht="30" customHeight="1" x14ac:dyDescent="0.25">
      <c r="A16" s="26" t="s">
        <v>1</v>
      </c>
      <c r="B16" s="35" t="s">
        <v>6</v>
      </c>
      <c r="C16" s="61"/>
      <c r="D16" s="61"/>
      <c r="E16" s="61" t="s">
        <v>6</v>
      </c>
      <c r="F16" s="61"/>
      <c r="G16" s="61"/>
      <c r="H16" s="64"/>
      <c r="I16" s="48" t="s">
        <v>6</v>
      </c>
      <c r="J16" s="10"/>
      <c r="K16" s="40"/>
      <c r="L16" s="52"/>
    </row>
    <row r="17" spans="1:12" ht="30" customHeight="1" x14ac:dyDescent="0.25">
      <c r="A17" s="26" t="s">
        <v>2</v>
      </c>
      <c r="B17" s="27" t="s">
        <v>7</v>
      </c>
      <c r="C17" s="60"/>
      <c r="D17" s="60"/>
      <c r="E17" s="60" t="s">
        <v>7</v>
      </c>
      <c r="F17" s="60"/>
      <c r="G17" s="60"/>
      <c r="H17" s="60"/>
      <c r="I17" s="47" t="s">
        <v>7</v>
      </c>
      <c r="J17" s="10"/>
      <c r="K17" s="40"/>
      <c r="L17" s="52"/>
    </row>
    <row r="18" spans="1:12" ht="30" customHeight="1" x14ac:dyDescent="0.25">
      <c r="A18" s="26" t="s">
        <v>1</v>
      </c>
      <c r="B18" s="35"/>
      <c r="C18" s="61"/>
      <c r="D18" s="61"/>
      <c r="E18" s="61"/>
      <c r="F18" s="61"/>
      <c r="G18" s="61"/>
      <c r="H18" s="64"/>
      <c r="I18" s="48"/>
      <c r="J18" s="10"/>
      <c r="K18" s="40"/>
      <c r="L18" s="52"/>
    </row>
    <row r="19" spans="1:12" ht="30" customHeight="1" x14ac:dyDescent="0.25">
      <c r="A19" s="26" t="s">
        <v>2</v>
      </c>
      <c r="B19" s="27"/>
      <c r="C19" s="60"/>
      <c r="D19" s="60"/>
      <c r="E19" s="60"/>
      <c r="F19" s="60"/>
      <c r="G19" s="60"/>
      <c r="H19" s="60"/>
      <c r="I19" s="50"/>
      <c r="J19" s="20"/>
      <c r="K19" s="39"/>
      <c r="L19" s="18"/>
    </row>
    <row r="20" spans="1:12" ht="30" customHeight="1" x14ac:dyDescent="0.25">
      <c r="A20" s="26" t="s">
        <v>1</v>
      </c>
      <c r="B20" s="35"/>
      <c r="C20" s="61"/>
      <c r="D20" s="61"/>
      <c r="E20" s="61"/>
      <c r="F20" s="61"/>
      <c r="G20" s="61"/>
      <c r="H20" s="64"/>
      <c r="I20" s="48"/>
      <c r="J20" s="10" t="s">
        <v>33</v>
      </c>
      <c r="K20" s="40"/>
      <c r="L20" s="52"/>
    </row>
    <row r="21" spans="1:12" ht="30" customHeight="1" x14ac:dyDescent="0.25">
      <c r="A21" s="26" t="s">
        <v>2</v>
      </c>
      <c r="B21" s="27"/>
      <c r="C21" s="60"/>
      <c r="D21" s="60"/>
      <c r="E21" s="60"/>
      <c r="F21" s="60"/>
      <c r="G21" s="60"/>
      <c r="H21" s="60"/>
      <c r="I21" s="47"/>
      <c r="J21" s="10"/>
      <c r="K21" s="40"/>
      <c r="L21" s="52"/>
    </row>
    <row r="22" spans="1:12" ht="30" customHeight="1" x14ac:dyDescent="0.25">
      <c r="A22" s="26" t="s">
        <v>1</v>
      </c>
      <c r="B22" s="35"/>
      <c r="C22" s="61"/>
      <c r="D22" s="61"/>
      <c r="E22" s="61"/>
      <c r="F22" s="61"/>
      <c r="G22" s="61"/>
      <c r="H22" s="64"/>
      <c r="I22" s="48"/>
      <c r="J22" s="10"/>
      <c r="K22" s="40"/>
      <c r="L22" s="52"/>
    </row>
    <row r="23" spans="1:12" ht="30" customHeight="1" x14ac:dyDescent="0.25">
      <c r="A23" s="26" t="s">
        <v>2</v>
      </c>
      <c r="B23" s="27"/>
      <c r="C23" s="60"/>
      <c r="D23" s="60"/>
      <c r="E23" s="60"/>
      <c r="F23" s="60"/>
      <c r="G23" s="60"/>
      <c r="H23" s="60"/>
      <c r="I23" s="47"/>
      <c r="J23" s="10"/>
      <c r="K23" s="40"/>
      <c r="L23" s="52"/>
    </row>
    <row r="24" spans="1:12" ht="30" customHeight="1" x14ac:dyDescent="0.25">
      <c r="A24" s="26" t="s">
        <v>1</v>
      </c>
      <c r="B24" s="35" t="s">
        <v>8</v>
      </c>
      <c r="C24" s="61"/>
      <c r="D24" s="61"/>
      <c r="E24" s="61" t="s">
        <v>8</v>
      </c>
      <c r="F24" s="61"/>
      <c r="G24" s="61"/>
      <c r="H24" s="64"/>
      <c r="I24" s="48" t="s">
        <v>8</v>
      </c>
      <c r="J24" s="10"/>
      <c r="K24" s="40"/>
      <c r="L24" s="52"/>
    </row>
    <row r="25" spans="1:12" ht="30" customHeight="1" x14ac:dyDescent="0.25">
      <c r="A25" s="26" t="s">
        <v>2</v>
      </c>
      <c r="B25" s="27" t="s">
        <v>9</v>
      </c>
      <c r="C25" s="60"/>
      <c r="D25" s="60"/>
      <c r="E25" s="60" t="s">
        <v>9</v>
      </c>
      <c r="F25" s="60"/>
      <c r="G25" s="60"/>
      <c r="H25" s="60"/>
      <c r="I25" s="47" t="s">
        <v>9</v>
      </c>
      <c r="J25" s="20"/>
      <c r="K25" s="39"/>
      <c r="L25" s="18"/>
    </row>
    <row r="26" spans="1:12" ht="30" customHeight="1" x14ac:dyDescent="0.25">
      <c r="A26" s="26" t="s">
        <v>1</v>
      </c>
      <c r="B26" s="35"/>
      <c r="C26" s="61"/>
      <c r="D26" s="61"/>
      <c r="E26" s="61"/>
      <c r="F26" s="61"/>
      <c r="G26" s="61"/>
      <c r="H26" s="64"/>
      <c r="I26" s="48"/>
      <c r="J26" s="10" t="s">
        <v>34</v>
      </c>
      <c r="K26" s="40"/>
      <c r="L26" s="52"/>
    </row>
    <row r="27" spans="1:12" ht="30" customHeight="1" x14ac:dyDescent="0.25">
      <c r="A27" s="26" t="s">
        <v>2</v>
      </c>
      <c r="B27" s="27"/>
      <c r="C27" s="60"/>
      <c r="D27" s="60"/>
      <c r="E27" s="60"/>
      <c r="F27" s="60"/>
      <c r="G27" s="60"/>
      <c r="H27" s="60"/>
      <c r="I27" s="47"/>
      <c r="J27" s="10"/>
      <c r="K27" s="40"/>
      <c r="L27" s="52"/>
    </row>
    <row r="28" spans="1:12" ht="30" customHeight="1" x14ac:dyDescent="0.25">
      <c r="A28" s="26" t="s">
        <v>1</v>
      </c>
      <c r="B28" s="35"/>
      <c r="C28" s="61" t="s">
        <v>12</v>
      </c>
      <c r="D28" s="61"/>
      <c r="E28" s="61"/>
      <c r="F28" s="61"/>
      <c r="G28" s="61" t="s">
        <v>12</v>
      </c>
      <c r="H28" s="64"/>
      <c r="I28" s="48"/>
      <c r="J28" s="10"/>
      <c r="K28" s="40"/>
      <c r="L28" s="52"/>
    </row>
    <row r="29" spans="1:12" ht="30" customHeight="1" x14ac:dyDescent="0.25">
      <c r="A29" s="26" t="s">
        <v>2</v>
      </c>
      <c r="B29" s="27"/>
      <c r="C29" s="60" t="s">
        <v>13</v>
      </c>
      <c r="D29" s="60"/>
      <c r="E29" s="60"/>
      <c r="F29" s="60"/>
      <c r="G29" s="60" t="s">
        <v>13</v>
      </c>
      <c r="H29" s="60"/>
      <c r="I29" s="47"/>
      <c r="J29" s="10"/>
      <c r="K29" s="40"/>
      <c r="L29" s="52"/>
    </row>
    <row r="30" spans="1:12" ht="30" customHeight="1" x14ac:dyDescent="0.25">
      <c r="A30" s="26" t="s">
        <v>1</v>
      </c>
      <c r="B30" s="35"/>
      <c r="C30" s="63"/>
      <c r="D30" s="63"/>
      <c r="E30" s="63"/>
      <c r="F30" s="63"/>
      <c r="G30" s="63"/>
      <c r="H30" s="63"/>
      <c r="I30" s="48"/>
      <c r="J30" s="10"/>
      <c r="K30" s="40"/>
      <c r="L30" s="52"/>
    </row>
    <row r="31" spans="1:12" ht="30" customHeight="1" x14ac:dyDescent="0.25">
      <c r="A31" s="26" t="s">
        <v>2</v>
      </c>
      <c r="B31" s="28"/>
      <c r="C31" s="62"/>
      <c r="D31" s="62"/>
      <c r="E31" s="62"/>
      <c r="F31" s="62"/>
      <c r="G31" s="62"/>
      <c r="H31" s="62"/>
      <c r="I31" s="29"/>
      <c r="J31" s="15"/>
      <c r="K31" s="46"/>
      <c r="L31" s="52"/>
    </row>
  </sheetData>
  <dataConsolidate/>
  <mergeCells count="63">
    <mergeCell ref="G11:H11"/>
    <mergeCell ref="G12:H12"/>
    <mergeCell ref="G13:H13"/>
    <mergeCell ref="G16:H16"/>
    <mergeCell ref="G17:H17"/>
    <mergeCell ref="G18:H18"/>
    <mergeCell ref="G19:H19"/>
    <mergeCell ref="G14:H14"/>
    <mergeCell ref="G15:H15"/>
    <mergeCell ref="G27:H27"/>
    <mergeCell ref="G31:H31"/>
    <mergeCell ref="G20:H20"/>
    <mergeCell ref="G21:H21"/>
    <mergeCell ref="G22:H22"/>
    <mergeCell ref="G28:H28"/>
    <mergeCell ref="G29:H29"/>
    <mergeCell ref="G30:H30"/>
    <mergeCell ref="G23:H23"/>
    <mergeCell ref="G24:H24"/>
    <mergeCell ref="G25:H25"/>
    <mergeCell ref="G26:H26"/>
    <mergeCell ref="E19:F19"/>
    <mergeCell ref="E18:F18"/>
    <mergeCell ref="E17:F17"/>
    <mergeCell ref="E16:F16"/>
    <mergeCell ref="E15:F15"/>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C31:D31"/>
    <mergeCell ref="C22:D22"/>
    <mergeCell ref="C23:D23"/>
    <mergeCell ref="C24:D24"/>
    <mergeCell ref="C25:D25"/>
    <mergeCell ref="C26:D26"/>
    <mergeCell ref="C27:D27"/>
    <mergeCell ref="C28:D28"/>
    <mergeCell ref="C29:D29"/>
    <mergeCell ref="C30:D30"/>
    <mergeCell ref="E11:F11"/>
    <mergeCell ref="C11:D11"/>
    <mergeCell ref="C17:D17"/>
    <mergeCell ref="C12:D12"/>
    <mergeCell ref="C13:D13"/>
    <mergeCell ref="C14:D14"/>
    <mergeCell ref="C15:D15"/>
    <mergeCell ref="C16:D16"/>
    <mergeCell ref="E14:F14"/>
    <mergeCell ref="E13:F13"/>
    <mergeCell ref="E12:F12"/>
  </mergeCells>
  <phoneticPr fontId="2" type="noConversion"/>
  <conditionalFormatting sqref="C3:H3">
    <cfRule type="expression" dxfId="97" priority="9" stopIfTrue="1">
      <formula>DAY(C3)&gt;8</formula>
    </cfRule>
  </conditionalFormatting>
  <conditionalFormatting sqref="C7:I8">
    <cfRule type="expression" dxfId="96" priority="8" stopIfTrue="1">
      <formula>AND(DAY(C7)&gt;=1,DAY(C7)&lt;=15)</formula>
    </cfRule>
  </conditionalFormatting>
  <conditionalFormatting sqref="C3:I8">
    <cfRule type="expression" dxfId="95" priority="20">
      <formula>VLOOKUP(DAY(C3),AssignmentDays,1,FALSE)=DAY(C3)</formula>
    </cfRule>
  </conditionalFormatting>
  <conditionalFormatting sqref="B12:I12 B14:I14 B16:I16 B18:I18 B20:I20 B22:I22 B24:I24 B26:I26 B28:I28 B30:I30">
    <cfRule type="expression" dxfId="94" priority="6">
      <formula>B12&lt;&gt;""</formula>
    </cfRule>
  </conditionalFormatting>
  <conditionalFormatting sqref="B13:I13 B15:I15 B17:I17 B19:I19 B21:I21 B23:I23 B25:I25 B27:I27 B29:I29 B31:I31">
    <cfRule type="expression" dxfId="93" priority="4">
      <formula>B13&lt;&gt;""</formula>
    </cfRule>
  </conditionalFormatting>
  <conditionalFormatting sqref="B13:I13 B15:I15 B17:I17 B19:I19 B21:I21 B23:I23 B25:I25 B27:I27 B29:I29">
    <cfRule type="expression" dxfId="92" priority="3">
      <formula>COLUMN(B12)&gt;=2</formula>
    </cfRule>
  </conditionalFormatting>
  <conditionalFormatting sqref="B12:I31">
    <cfRule type="expression" dxfId="91" priority="1">
      <formula>COLUMN(B11)&gt;2</formula>
    </cfRule>
  </conditionalFormatting>
  <dataValidations xWindow="250" yWindow="581" count="13">
    <dataValidation allowBlank="1" showInputMessage="1" showErrorMessage="1" prompt="Escriba el año en esta celda." sqref="B1"/>
    <dataValidation allowBlank="1" showInputMessage="1" showErrorMessage="1" prompt="Prepare una programación semanal y cree una lista de tareas en esta hoja de cálculo. El calendario mensual resalta automáticamente las entradas de la lista de tareas. Escriba el año natural en la celda B1." sqref="A1"/>
    <dataValidation allowBlank="1" showInputMessage="1" showErrorMessage="1" prompt="El calendario de enero resalta automáticamente las entradas de la lista de tareas para el mes. Las fuentes más oscuras indican tareas. Las fuentes más claras indican días que pertenecen al mes anterior o siguiente." sqref="B2"/>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 allowBlank="1" showInputMessage="1" showErrorMessage="1" prompt="Escriba la clase en esta fila, de la columna B a la I." sqref="B13"/>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Escriba la hora en esta fila, de la columna B a la I." sqref="B12"/>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Los días de la semana se encuentran en esta fila, del lunes al viernes." sqref="B11"/>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27</v>
      </c>
      <c r="C2" s="7" t="s">
        <v>30</v>
      </c>
      <c r="D2" s="7" t="s">
        <v>31</v>
      </c>
      <c r="E2" s="7" t="s">
        <v>32</v>
      </c>
      <c r="F2" s="7" t="s">
        <v>33</v>
      </c>
      <c r="G2" s="7" t="s">
        <v>34</v>
      </c>
      <c r="H2" s="7" t="s">
        <v>35</v>
      </c>
      <c r="I2" s="7" t="s">
        <v>36</v>
      </c>
      <c r="J2" s="10" t="s">
        <v>30</v>
      </c>
      <c r="K2" s="46"/>
      <c r="L2" s="53"/>
    </row>
    <row r="3" spans="1:12" ht="30" customHeight="1" x14ac:dyDescent="0.25">
      <c r="A3" s="13"/>
      <c r="C3" s="6">
        <f ca="1">IF(DAY(OctDom1)=1,OctDom1-6,OctDom1+1)</f>
        <v>43003</v>
      </c>
      <c r="D3" s="6">
        <f ca="1">IF(DAY(OctDom1)=1,OctDom1-5,OctDom1+2)</f>
        <v>43004</v>
      </c>
      <c r="E3" s="6">
        <f ca="1">IF(DAY(OctDom1)=1,OctDom1-4,OctDom1+3)</f>
        <v>43005</v>
      </c>
      <c r="F3" s="6">
        <f ca="1">IF(DAY(OctDom1)=1,OctDom1-3,OctDom1+4)</f>
        <v>43006</v>
      </c>
      <c r="G3" s="6">
        <f ca="1">IF(DAY(OctDom1)=1,OctDom1-2,OctDom1+5)</f>
        <v>43007</v>
      </c>
      <c r="H3" s="6">
        <f ca="1">IF(DAY(OctDom1)=1,OctDom1-1,OctDom1+6)</f>
        <v>43008</v>
      </c>
      <c r="I3" s="6">
        <f ca="1">IF(DAY(OctDom1)=1,OctDom1,OctDom1+7)</f>
        <v>43009</v>
      </c>
      <c r="J3" s="10"/>
      <c r="K3" s="40"/>
      <c r="L3" s="53"/>
    </row>
    <row r="4" spans="1:12" ht="30" customHeight="1" x14ac:dyDescent="0.25">
      <c r="A4" s="13"/>
      <c r="C4" s="6">
        <f ca="1">IF(DAY(OctDom1)=1,OctDom1+1,OctDom1+8)</f>
        <v>43010</v>
      </c>
      <c r="D4" s="6">
        <f ca="1">IF(DAY(OctDom1)=1,OctDom1+2,OctDom1+9)</f>
        <v>43011</v>
      </c>
      <c r="E4" s="6">
        <f ca="1">IF(DAY(OctDom1)=1,OctDom1+3,OctDom1+10)</f>
        <v>43012</v>
      </c>
      <c r="F4" s="6">
        <f ca="1">IF(DAY(OctDom1)=1,OctDom1+4,OctDom1+11)</f>
        <v>43013</v>
      </c>
      <c r="G4" s="6">
        <f ca="1">IF(DAY(OctDom1)=1,OctDom1+5,OctDom1+12)</f>
        <v>43014</v>
      </c>
      <c r="H4" s="6">
        <f ca="1">IF(DAY(OctDom1)=1,OctDom1+6,OctDom1+13)</f>
        <v>43015</v>
      </c>
      <c r="I4" s="6">
        <f ca="1">IF(DAY(OctDom1)=1,OctDom1+7,OctDom1+14)</f>
        <v>43016</v>
      </c>
      <c r="J4" s="10"/>
      <c r="K4" s="40"/>
      <c r="L4" s="53"/>
    </row>
    <row r="5" spans="1:12" ht="30" customHeight="1" x14ac:dyDescent="0.25">
      <c r="A5" s="13"/>
      <c r="C5" s="6">
        <f ca="1">IF(DAY(OctDom1)=1,OctDom1+8,OctDom1+15)</f>
        <v>43017</v>
      </c>
      <c r="D5" s="6">
        <f ca="1">IF(DAY(OctDom1)=1,OctDom1+9,OctDom1+16)</f>
        <v>43018</v>
      </c>
      <c r="E5" s="6">
        <f ca="1">IF(DAY(OctDom1)=1,OctDom1+10,OctDom1+17)</f>
        <v>43019</v>
      </c>
      <c r="F5" s="6">
        <f ca="1">IF(DAY(OctDom1)=1,OctDom1+11,OctDom1+18)</f>
        <v>43020</v>
      </c>
      <c r="G5" s="6">
        <f ca="1">IF(DAY(OctDom1)=1,OctDom1+12,OctDom1+19)</f>
        <v>43021</v>
      </c>
      <c r="H5" s="6">
        <f ca="1">IF(DAY(OctDom1)=1,OctDom1+13,OctDom1+20)</f>
        <v>43022</v>
      </c>
      <c r="I5" s="6">
        <f ca="1">IF(DAY(OctDom1)=1,OctDom1+14,OctDom1+21)</f>
        <v>43023</v>
      </c>
      <c r="J5" s="10"/>
      <c r="K5" s="40"/>
      <c r="L5" s="53"/>
    </row>
    <row r="6" spans="1:12" ht="30" customHeight="1" x14ac:dyDescent="0.25">
      <c r="A6" s="13"/>
      <c r="C6" s="6">
        <f ca="1">IF(DAY(OctDom1)=1,OctDom1+15,OctDom1+22)</f>
        <v>43024</v>
      </c>
      <c r="D6" s="6">
        <f ca="1">IF(DAY(OctDom1)=1,OctDom1+16,OctDom1+23)</f>
        <v>43025</v>
      </c>
      <c r="E6" s="6">
        <f ca="1">IF(DAY(OctDom1)=1,OctDom1+17,OctDom1+24)</f>
        <v>43026</v>
      </c>
      <c r="F6" s="6">
        <f ca="1">IF(DAY(OctDom1)=1,OctDom1+18,OctDom1+25)</f>
        <v>43027</v>
      </c>
      <c r="G6" s="6">
        <f ca="1">IF(DAY(OctDom1)=1,OctDom1+19,OctDom1+26)</f>
        <v>43028</v>
      </c>
      <c r="H6" s="6">
        <f ca="1">IF(DAY(OctDom1)=1,OctDom1+20,OctDom1+27)</f>
        <v>43029</v>
      </c>
      <c r="I6" s="6">
        <f ca="1">IF(DAY(OctDom1)=1,OctDom1+21,OctDom1+28)</f>
        <v>43030</v>
      </c>
      <c r="J6" s="10"/>
      <c r="K6" s="40"/>
      <c r="L6" s="53"/>
    </row>
    <row r="7" spans="1:12" ht="30" customHeight="1" x14ac:dyDescent="0.25">
      <c r="A7" s="13"/>
      <c r="C7" s="6">
        <f ca="1">IF(DAY(OctDom1)=1,OctDom1+22,OctDom1+29)</f>
        <v>43031</v>
      </c>
      <c r="D7" s="6">
        <f ca="1">IF(DAY(OctDom1)=1,OctDom1+23,OctDom1+30)</f>
        <v>43032</v>
      </c>
      <c r="E7" s="6">
        <f ca="1">IF(DAY(OctDom1)=1,OctDom1+24,OctDom1+31)</f>
        <v>43033</v>
      </c>
      <c r="F7" s="6">
        <f ca="1">IF(DAY(OctDom1)=1,OctDom1+25,OctDom1+32)</f>
        <v>43034</v>
      </c>
      <c r="G7" s="6">
        <f ca="1">IF(DAY(OctDom1)=1,OctDom1+26,OctDom1+33)</f>
        <v>43035</v>
      </c>
      <c r="H7" s="6">
        <f ca="1">IF(DAY(OctDom1)=1,OctDom1+27,OctDom1+34)</f>
        <v>43036</v>
      </c>
      <c r="I7" s="6">
        <f ca="1">IF(DAY(OctDom1)=1,OctDom1+28,OctDom1+35)</f>
        <v>43037</v>
      </c>
      <c r="J7" s="20"/>
      <c r="K7" s="39"/>
      <c r="L7" s="18"/>
    </row>
    <row r="8" spans="1:12" ht="30" customHeight="1" x14ac:dyDescent="0.25">
      <c r="A8" s="13"/>
      <c r="B8" s="18"/>
      <c r="C8" s="6">
        <f ca="1">IF(DAY(OctDom1)=1,OctDom1+29,OctDom1+36)</f>
        <v>43038</v>
      </c>
      <c r="D8" s="6">
        <f ca="1">IF(DAY(OctDom1)=1,OctDom1+30,OctDom1+37)</f>
        <v>43039</v>
      </c>
      <c r="E8" s="6">
        <f ca="1">IF(DAY(OctDom1)=1,OctDom1+31,OctDom1+38)</f>
        <v>43040</v>
      </c>
      <c r="F8" s="6">
        <f ca="1">IF(DAY(OctDom1)=1,OctDom1+32,OctDom1+39)</f>
        <v>43041</v>
      </c>
      <c r="G8" s="6">
        <f ca="1">IF(DAY(OctDom1)=1,OctDom1+33,OctDom1+40)</f>
        <v>43042</v>
      </c>
      <c r="H8" s="6">
        <f ca="1">IF(DAY(OctDom1)=1,OctDom1+34,OctDom1+41)</f>
        <v>43043</v>
      </c>
      <c r="I8" s="6">
        <f ca="1">IF(DAY(OctDom1)=1,OctDom1+35,OctDom1+42)</f>
        <v>43044</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6"/>
      <c r="D12" s="66"/>
      <c r="E12" s="66">
        <v>0.33333333333333331</v>
      </c>
      <c r="F12" s="66"/>
      <c r="G12" s="66"/>
      <c r="H12" s="66"/>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6">
        <v>0.375</v>
      </c>
      <c r="D14" s="66"/>
      <c r="E14" s="66"/>
      <c r="F14" s="66"/>
      <c r="G14" s="66">
        <v>0.375</v>
      </c>
      <c r="H14" s="66"/>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6"/>
      <c r="D16" s="66"/>
      <c r="E16" s="66" t="s">
        <v>6</v>
      </c>
      <c r="F16" s="66"/>
      <c r="G16" s="66"/>
      <c r="H16" s="66"/>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6"/>
      <c r="D18" s="66"/>
      <c r="E18" s="66"/>
      <c r="F18" s="66"/>
      <c r="G18" s="66"/>
      <c r="H18" s="66"/>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6"/>
      <c r="D20" s="66"/>
      <c r="E20" s="66"/>
      <c r="F20" s="66"/>
      <c r="G20" s="66"/>
      <c r="H20" s="66"/>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6"/>
      <c r="D22" s="66"/>
      <c r="E22" s="66"/>
      <c r="F22" s="66"/>
      <c r="G22" s="66"/>
      <c r="H22" s="66"/>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6"/>
      <c r="D24" s="66"/>
      <c r="E24" s="66" t="s">
        <v>8</v>
      </c>
      <c r="F24" s="66"/>
      <c r="G24" s="66"/>
      <c r="H24" s="66"/>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6"/>
      <c r="D26" s="66"/>
      <c r="E26" s="66"/>
      <c r="F26" s="66"/>
      <c r="G26" s="66"/>
      <c r="H26" s="66"/>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6" t="s">
        <v>12</v>
      </c>
      <c r="D28" s="66"/>
      <c r="E28" s="66"/>
      <c r="F28" s="66"/>
      <c r="G28" s="66" t="s">
        <v>12</v>
      </c>
      <c r="H28" s="66"/>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6"/>
      <c r="D30" s="66"/>
      <c r="E30" s="66"/>
      <c r="F30" s="66"/>
      <c r="G30" s="66"/>
      <c r="H30" s="66"/>
      <c r="I30" s="22"/>
      <c r="J30" s="10"/>
      <c r="K30" s="40"/>
      <c r="L30" s="53"/>
    </row>
    <row r="31" spans="1:12" ht="30" customHeight="1" x14ac:dyDescent="0.25">
      <c r="A31" s="26" t="s">
        <v>2</v>
      </c>
      <c r="B31" s="28"/>
      <c r="C31" s="62"/>
      <c r="D31" s="62"/>
      <c r="E31" s="62"/>
      <c r="F31" s="62"/>
      <c r="G31" s="62"/>
      <c r="H31" s="62"/>
      <c r="I31" s="44"/>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25" priority="8" stopIfTrue="1">
      <formula>DAY(C3)&gt;8</formula>
    </cfRule>
  </conditionalFormatting>
  <conditionalFormatting sqref="C7:I8">
    <cfRule type="expression" dxfId="24" priority="7" stopIfTrue="1">
      <formula>AND(DAY(C7)&gt;=1,DAY(C7)&lt;=15)</formula>
    </cfRule>
  </conditionalFormatting>
  <conditionalFormatting sqref="C3:I8">
    <cfRule type="expression" dxfId="23" priority="9">
      <formula>VLOOKUP(DAY(C3),AssignmentDays,1,FALSE)=DAY(C3)</formula>
    </cfRule>
  </conditionalFormatting>
  <conditionalFormatting sqref="B13:I13 B15:I15 B17:I17 B19:I19 B21:I21 B23:I23 B25:I25 B27:I27 B29:I29 B31:I31">
    <cfRule type="expression" dxfId="22" priority="6">
      <formula>B13&lt;&gt;""</formula>
    </cfRule>
  </conditionalFormatting>
  <conditionalFormatting sqref="B12:I12 B14:I14 B16:I16 B18:I18 B20:I20 B22:I22 B24:I24 B26:I26 B28:I28 B30:I30">
    <cfRule type="expression" dxfId="21" priority="5">
      <formula>B12&lt;&gt;""</formula>
    </cfRule>
  </conditionalFormatting>
  <conditionalFormatting sqref="B13:I13 B15:I15 B17:I17 B19:I19 B21:I21 B23:I23 B25:I25 B27:I27 B29:I29">
    <cfRule type="expression" dxfId="20" priority="4">
      <formula>COLUMN(B11)&gt;2</formula>
    </cfRule>
    <cfRule type="expression" dxfId="19" priority="2">
      <formula>COLUMN(B13)&gt;=2</formula>
    </cfRule>
  </conditionalFormatting>
  <conditionalFormatting sqref="B31:I31">
    <cfRule type="expression" dxfId="18" priority="3">
      <formula>COLUMN(B12)&gt;2</formula>
    </cfRule>
  </conditionalFormatting>
  <conditionalFormatting sqref="B12:I31">
    <cfRule type="expression" dxfId="17" priority="1">
      <formula>COLUMN(B12)&gt;2</formula>
    </cfRule>
  </conditionalFormatting>
  <dataValidations count="13">
    <dataValidation allowBlank="1" showInputMessage="1" showErrorMessage="1" prompt="El calendario de octubre resalta automáticamente las entradas de la lista de tareas para el mes. Las fuentes más oscuras indican tareas. Las fuentes más claras indican días que pertenecen al mes anterior o siguiente." sqref="B2"/>
    <dataValidation allowBlank="1" showInputMessage="1" showErrorMessage="1" prompt="El año se actualiza automáticamente. Para cambiar el año, actualice la celda B1 en la hoja de cálculo de Ene." sqref="B1"/>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Escriba la hora en esta fila, de la columna B a la I." sqref="B12"/>
    <dataValidation allowBlank="1" showInputMessage="1" showErrorMessage="1" prompt="Escriba la clase en esta fila, de la columna B a la I." sqref="B13"/>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28</v>
      </c>
      <c r="C2" s="7" t="s">
        <v>30</v>
      </c>
      <c r="D2" s="7" t="s">
        <v>31</v>
      </c>
      <c r="E2" s="7" t="s">
        <v>32</v>
      </c>
      <c r="F2" s="7" t="s">
        <v>33</v>
      </c>
      <c r="G2" s="7" t="s">
        <v>34</v>
      </c>
      <c r="H2" s="7" t="s">
        <v>35</v>
      </c>
      <c r="I2" s="7" t="s">
        <v>36</v>
      </c>
      <c r="J2" s="10" t="s">
        <v>30</v>
      </c>
      <c r="K2" s="46"/>
      <c r="L2" s="53"/>
    </row>
    <row r="3" spans="1:12" ht="30" customHeight="1" x14ac:dyDescent="0.25">
      <c r="A3" s="13"/>
      <c r="C3" s="6">
        <f ca="1">IF(DAY(NovDom1)=1,NovDom1-6,NovDom1+1)</f>
        <v>43038</v>
      </c>
      <c r="D3" s="6">
        <f ca="1">IF(DAY(NovDom1)=1,NovDom1-5,NovDom1+2)</f>
        <v>43039</v>
      </c>
      <c r="E3" s="6">
        <f ca="1">IF(DAY(NovDom1)=1,NovDom1-4,NovDom1+3)</f>
        <v>43040</v>
      </c>
      <c r="F3" s="6">
        <f ca="1">IF(DAY(NovDom1)=1,NovDom1-3,NovDom1+4)</f>
        <v>43041</v>
      </c>
      <c r="G3" s="6">
        <f ca="1">IF(DAY(NovDom1)=1,NovDom1-2,NovDom1+5)</f>
        <v>43042</v>
      </c>
      <c r="H3" s="6">
        <f ca="1">IF(DAY(NovDom1)=1,NovDom1-1,NovDom1+6)</f>
        <v>43043</v>
      </c>
      <c r="I3" s="6">
        <f ca="1">IF(DAY(NovDom1)=1,NovDom1,NovDom1+7)</f>
        <v>43044</v>
      </c>
      <c r="J3" s="10"/>
      <c r="K3" s="40"/>
      <c r="L3" s="53"/>
    </row>
    <row r="4" spans="1:12" ht="30" customHeight="1" x14ac:dyDescent="0.25">
      <c r="A4" s="13"/>
      <c r="C4" s="6">
        <f ca="1">IF(DAY(NovDom1)=1,NovDom1+1,NovDom1+8)</f>
        <v>43045</v>
      </c>
      <c r="D4" s="6">
        <f ca="1">IF(DAY(NovDom1)=1,NovDom1+2,NovDom1+9)</f>
        <v>43046</v>
      </c>
      <c r="E4" s="6">
        <f ca="1">IF(DAY(NovDom1)=1,NovDom1+3,NovDom1+10)</f>
        <v>43047</v>
      </c>
      <c r="F4" s="6">
        <f ca="1">IF(DAY(NovDom1)=1,NovDom1+4,NovDom1+11)</f>
        <v>43048</v>
      </c>
      <c r="G4" s="6">
        <f ca="1">IF(DAY(NovDom1)=1,NovDom1+5,NovDom1+12)</f>
        <v>43049</v>
      </c>
      <c r="H4" s="6">
        <f ca="1">IF(DAY(NovDom1)=1,NovDom1+6,NovDom1+13)</f>
        <v>43050</v>
      </c>
      <c r="I4" s="6">
        <f ca="1">IF(DAY(NovDom1)=1,NovDom1+7,NovDom1+14)</f>
        <v>43051</v>
      </c>
      <c r="J4" s="10"/>
      <c r="K4" s="40"/>
      <c r="L4" s="53"/>
    </row>
    <row r="5" spans="1:12" ht="30" customHeight="1" x14ac:dyDescent="0.25">
      <c r="A5" s="13"/>
      <c r="C5" s="6">
        <f ca="1">IF(DAY(NovDom1)=1,NovDom1+8,NovDom1+15)</f>
        <v>43052</v>
      </c>
      <c r="D5" s="6">
        <f ca="1">IF(DAY(NovDom1)=1,NovDom1+9,NovDom1+16)</f>
        <v>43053</v>
      </c>
      <c r="E5" s="6">
        <f ca="1">IF(DAY(NovDom1)=1,NovDom1+10,NovDom1+17)</f>
        <v>43054</v>
      </c>
      <c r="F5" s="6">
        <f ca="1">IF(DAY(NovDom1)=1,NovDom1+11,NovDom1+18)</f>
        <v>43055</v>
      </c>
      <c r="G5" s="6">
        <f ca="1">IF(DAY(NovDom1)=1,NovDom1+12,NovDom1+19)</f>
        <v>43056</v>
      </c>
      <c r="H5" s="6">
        <f ca="1">IF(DAY(NovDom1)=1,NovDom1+13,NovDom1+20)</f>
        <v>43057</v>
      </c>
      <c r="I5" s="6">
        <f ca="1">IF(DAY(NovDom1)=1,NovDom1+14,NovDom1+21)</f>
        <v>43058</v>
      </c>
      <c r="J5" s="10"/>
      <c r="K5" s="40"/>
      <c r="L5" s="53"/>
    </row>
    <row r="6" spans="1:12" ht="30" customHeight="1" x14ac:dyDescent="0.25">
      <c r="A6" s="13"/>
      <c r="C6" s="6">
        <f ca="1">IF(DAY(NovDom1)=1,NovDom1+15,NovDom1+22)</f>
        <v>43059</v>
      </c>
      <c r="D6" s="6">
        <f ca="1">IF(DAY(NovDom1)=1,NovDom1+16,NovDom1+23)</f>
        <v>43060</v>
      </c>
      <c r="E6" s="6">
        <f ca="1">IF(DAY(NovDom1)=1,NovDom1+17,NovDom1+24)</f>
        <v>43061</v>
      </c>
      <c r="F6" s="6">
        <f ca="1">IF(DAY(NovDom1)=1,NovDom1+18,NovDom1+25)</f>
        <v>43062</v>
      </c>
      <c r="G6" s="6">
        <f ca="1">IF(DAY(NovDom1)=1,NovDom1+19,NovDom1+26)</f>
        <v>43063</v>
      </c>
      <c r="H6" s="6">
        <f ca="1">IF(DAY(NovDom1)=1,NovDom1+20,NovDom1+27)</f>
        <v>43064</v>
      </c>
      <c r="I6" s="6">
        <f ca="1">IF(DAY(NovDom1)=1,NovDom1+21,NovDom1+28)</f>
        <v>43065</v>
      </c>
      <c r="J6" s="10"/>
      <c r="K6" s="40"/>
      <c r="L6" s="53"/>
    </row>
    <row r="7" spans="1:12" ht="30" customHeight="1" x14ac:dyDescent="0.25">
      <c r="A7" s="13"/>
      <c r="C7" s="6">
        <f ca="1">IF(DAY(NovDom1)=1,NovDom1+22,NovDom1+29)</f>
        <v>43066</v>
      </c>
      <c r="D7" s="6">
        <f ca="1">IF(DAY(NovDom1)=1,NovDom1+23,NovDom1+30)</f>
        <v>43067</v>
      </c>
      <c r="E7" s="6">
        <f ca="1">IF(DAY(NovDom1)=1,NovDom1+24,NovDom1+31)</f>
        <v>43068</v>
      </c>
      <c r="F7" s="6">
        <f ca="1">IF(DAY(NovDom1)=1,NovDom1+25,NovDom1+32)</f>
        <v>43069</v>
      </c>
      <c r="G7" s="6">
        <f ca="1">IF(DAY(NovDom1)=1,NovDom1+26,NovDom1+33)</f>
        <v>43070</v>
      </c>
      <c r="H7" s="6">
        <f ca="1">IF(DAY(NovDom1)=1,NovDom1+27,NovDom1+34)</f>
        <v>43071</v>
      </c>
      <c r="I7" s="6">
        <f ca="1">IF(DAY(NovDom1)=1,NovDom1+28,NovDom1+35)</f>
        <v>43072</v>
      </c>
      <c r="J7" s="20"/>
      <c r="K7" s="39"/>
      <c r="L7" s="18"/>
    </row>
    <row r="8" spans="1:12" ht="30" customHeight="1" x14ac:dyDescent="0.25">
      <c r="A8" s="13"/>
      <c r="B8" s="18"/>
      <c r="C8" s="6">
        <f ca="1">IF(DAY(NovDom1)=1,NovDom1+29,NovDom1+36)</f>
        <v>43073</v>
      </c>
      <c r="D8" s="6">
        <f ca="1">IF(DAY(NovDom1)=1,NovDom1+30,NovDom1+37)</f>
        <v>43074</v>
      </c>
      <c r="E8" s="6">
        <f ca="1">IF(DAY(NovDom1)=1,NovDom1+31,NovDom1+38)</f>
        <v>43075</v>
      </c>
      <c r="F8" s="6">
        <f ca="1">IF(DAY(NovDom1)=1,NovDom1+32,NovDom1+39)</f>
        <v>43076</v>
      </c>
      <c r="G8" s="6">
        <f ca="1">IF(DAY(NovDom1)=1,NovDom1+33,NovDom1+40)</f>
        <v>43077</v>
      </c>
      <c r="H8" s="6">
        <f ca="1">IF(DAY(NovDom1)=1,NovDom1+34,NovDom1+41)</f>
        <v>43078</v>
      </c>
      <c r="I8" s="6">
        <f ca="1">IF(DAY(NovDom1)=1,NovDom1+35,NovDom1+42)</f>
        <v>43079</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5" t="s">
        <v>12</v>
      </c>
      <c r="D28" s="65"/>
      <c r="E28" s="65"/>
      <c r="F28" s="65"/>
      <c r="G28" s="65" t="s">
        <v>12</v>
      </c>
      <c r="H28" s="65"/>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5"/>
      <c r="D30" s="65"/>
      <c r="E30" s="65"/>
      <c r="F30" s="65"/>
      <c r="G30" s="65"/>
      <c r="H30" s="65"/>
      <c r="I30" s="22"/>
      <c r="J30" s="10"/>
      <c r="K30" s="40"/>
      <c r="L30" s="53"/>
    </row>
    <row r="31" spans="1:12" ht="30" customHeight="1" x14ac:dyDescent="0.25">
      <c r="A31" s="26" t="s">
        <v>2</v>
      </c>
      <c r="B31" s="28"/>
      <c r="C31" s="62"/>
      <c r="D31" s="62"/>
      <c r="E31" s="62"/>
      <c r="F31" s="62"/>
      <c r="G31" s="62"/>
      <c r="H31" s="62"/>
      <c r="I31" s="44"/>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VLOOKUP(DAY(C3),AssignmentDays,1,FALSE)=DAY(C3)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Escriba la clase en esta fila, de la columna B a la I." sqref="B13"/>
    <dataValidation allowBlank="1" showInputMessage="1" showErrorMessage="1" prompt="Escriba la hora en esta fila, de la columna B a la I." sqref="B12"/>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Si esta celda no contiene el número 1, se trata de un día del mes anterior. Las celdas C3 a I8 contienen fechas para el mes actual." sqref="C3"/>
    <dataValidation allowBlank="1" showInputMessage="1" showErrorMessage="1" prompt="Las celdas C2 a I2 contienen días de la semana." sqref="C2"/>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El año se actualiza automáticamente. Para cambiar el año, actualice la celda B1 en la hoja de cálculo de Ene." sqref="B1"/>
    <dataValidation allowBlank="1" showInputMessage="1" showErrorMessage="1" prompt="El calendario de noviembre resalta automáticamente las entradas de la lista de tareas para el mes. Las fuentes más oscuras indican tareas. Las fuentes más claras indican días que pertenecen al mes anterior o siguiente." sqref="B2"/>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29</v>
      </c>
      <c r="C2" s="7" t="s">
        <v>30</v>
      </c>
      <c r="D2" s="7" t="s">
        <v>31</v>
      </c>
      <c r="E2" s="7" t="s">
        <v>32</v>
      </c>
      <c r="F2" s="7" t="s">
        <v>33</v>
      </c>
      <c r="G2" s="7" t="s">
        <v>34</v>
      </c>
      <c r="H2" s="7" t="s">
        <v>35</v>
      </c>
      <c r="I2" s="7" t="s">
        <v>36</v>
      </c>
      <c r="J2" s="10" t="s">
        <v>30</v>
      </c>
      <c r="K2" s="46"/>
      <c r="L2" s="53"/>
    </row>
    <row r="3" spans="1:12" ht="30" customHeight="1" x14ac:dyDescent="0.25">
      <c r="A3" s="13"/>
      <c r="C3" s="6">
        <f ca="1">IF(DAY(DecDom1)=1,DecDom1-6,DecDom1+1)</f>
        <v>43066</v>
      </c>
      <c r="D3" s="6">
        <f ca="1">IF(DAY(DecDom1)=1,DecDom1-5,DecDom1+2)</f>
        <v>43067</v>
      </c>
      <c r="E3" s="6">
        <f ca="1">IF(DAY(DecDom1)=1,DecDom1-4,DecDom1+3)</f>
        <v>43068</v>
      </c>
      <c r="F3" s="6">
        <f ca="1">IF(DAY(DecDom1)=1,DecDom1-3,DecDom1+4)</f>
        <v>43069</v>
      </c>
      <c r="G3" s="6">
        <f ca="1">IF(DAY(DecDom1)=1,DecDom1-2,DecDom1+5)</f>
        <v>43070</v>
      </c>
      <c r="H3" s="6">
        <f ca="1">IF(DAY(DecDom1)=1,DecDom1-1,DecDom1+6)</f>
        <v>43071</v>
      </c>
      <c r="I3" s="6">
        <f ca="1">IF(DAY(DecDom1)=1,DecDom1,DecDom1+7)</f>
        <v>43072</v>
      </c>
      <c r="J3" s="10"/>
      <c r="K3" s="40"/>
      <c r="L3" s="53"/>
    </row>
    <row r="4" spans="1:12" ht="30" customHeight="1" x14ac:dyDescent="0.25">
      <c r="A4" s="13"/>
      <c r="C4" s="6">
        <f ca="1">IF(DAY(DecDom1)=1,DecDom1+1,DecDom1+8)</f>
        <v>43073</v>
      </c>
      <c r="D4" s="6">
        <f ca="1">IF(DAY(DecDom1)=1,DecDom1+2,DecDom1+9)</f>
        <v>43074</v>
      </c>
      <c r="E4" s="6">
        <f ca="1">IF(DAY(DecDom1)=1,DecDom1+3,DecDom1+10)</f>
        <v>43075</v>
      </c>
      <c r="F4" s="6">
        <f ca="1">IF(DAY(DecDom1)=1,DecDom1+4,DecDom1+11)</f>
        <v>43076</v>
      </c>
      <c r="G4" s="6">
        <f ca="1">IF(DAY(DecDom1)=1,DecDom1+5,DecDom1+12)</f>
        <v>43077</v>
      </c>
      <c r="H4" s="6">
        <f ca="1">IF(DAY(DecDom1)=1,DecDom1+6,DecDom1+13)</f>
        <v>43078</v>
      </c>
      <c r="I4" s="6">
        <f ca="1">IF(DAY(DecDom1)=1,DecDom1+7,DecDom1+14)</f>
        <v>43079</v>
      </c>
      <c r="J4" s="10"/>
      <c r="K4" s="40"/>
      <c r="L4" s="53"/>
    </row>
    <row r="5" spans="1:12" ht="30" customHeight="1" x14ac:dyDescent="0.25">
      <c r="A5" s="13"/>
      <c r="C5" s="6">
        <f ca="1">IF(DAY(DecDom1)=1,DecDom1+8,DecDom1+15)</f>
        <v>43080</v>
      </c>
      <c r="D5" s="6">
        <f ca="1">IF(DAY(DecDom1)=1,DecDom1+9,DecDom1+16)</f>
        <v>43081</v>
      </c>
      <c r="E5" s="6">
        <f ca="1">IF(DAY(DecDom1)=1,DecDom1+10,DecDom1+17)</f>
        <v>43082</v>
      </c>
      <c r="F5" s="6">
        <f ca="1">IF(DAY(DecDom1)=1,DecDom1+11,DecDom1+18)</f>
        <v>43083</v>
      </c>
      <c r="G5" s="6">
        <f ca="1">IF(DAY(DecDom1)=1,DecDom1+12,DecDom1+19)</f>
        <v>43084</v>
      </c>
      <c r="H5" s="6">
        <f ca="1">IF(DAY(DecDom1)=1,DecDom1+13,DecDom1+20)</f>
        <v>43085</v>
      </c>
      <c r="I5" s="6">
        <f ca="1">IF(DAY(DecDom1)=1,DecDom1+14,DecDom1+21)</f>
        <v>43086</v>
      </c>
      <c r="J5" s="10"/>
      <c r="K5" s="40"/>
      <c r="L5" s="53"/>
    </row>
    <row r="6" spans="1:12" ht="30" customHeight="1" x14ac:dyDescent="0.25">
      <c r="A6" s="13"/>
      <c r="C6" s="6">
        <f ca="1">IF(DAY(DecDom1)=1,DecDom1+15,DecDom1+22)</f>
        <v>43087</v>
      </c>
      <c r="D6" s="6">
        <f ca="1">IF(DAY(DecDom1)=1,DecDom1+16,DecDom1+23)</f>
        <v>43088</v>
      </c>
      <c r="E6" s="6">
        <f ca="1">IF(DAY(DecDom1)=1,DecDom1+17,DecDom1+24)</f>
        <v>43089</v>
      </c>
      <c r="F6" s="6">
        <f ca="1">IF(DAY(DecDom1)=1,DecDom1+18,DecDom1+25)</f>
        <v>43090</v>
      </c>
      <c r="G6" s="6">
        <f ca="1">IF(DAY(DecDom1)=1,DecDom1+19,DecDom1+26)</f>
        <v>43091</v>
      </c>
      <c r="H6" s="6">
        <f ca="1">IF(DAY(DecDom1)=1,DecDom1+20,DecDom1+27)</f>
        <v>43092</v>
      </c>
      <c r="I6" s="6">
        <f ca="1">IF(DAY(DecDom1)=1,DecDom1+21,DecDom1+28)</f>
        <v>43093</v>
      </c>
      <c r="J6" s="10"/>
      <c r="K6" s="40"/>
      <c r="L6" s="53"/>
    </row>
    <row r="7" spans="1:12" ht="30" customHeight="1" x14ac:dyDescent="0.25">
      <c r="A7" s="13"/>
      <c r="C7" s="6">
        <f ca="1">IF(DAY(DecDom1)=1,DecDom1+22,DecDom1+29)</f>
        <v>43094</v>
      </c>
      <c r="D7" s="6">
        <f ca="1">IF(DAY(DecDom1)=1,DecDom1+23,DecDom1+30)</f>
        <v>43095</v>
      </c>
      <c r="E7" s="6">
        <f ca="1">IF(DAY(DecDom1)=1,DecDom1+24,DecDom1+31)</f>
        <v>43096</v>
      </c>
      <c r="F7" s="6">
        <f ca="1">IF(DAY(DecDom1)=1,DecDom1+25,DecDom1+32)</f>
        <v>43097</v>
      </c>
      <c r="G7" s="6">
        <f ca="1">IF(DAY(DecDom1)=1,DecDom1+26,DecDom1+33)</f>
        <v>43098</v>
      </c>
      <c r="H7" s="6">
        <f ca="1">IF(DAY(DecDom1)=1,DecDom1+27,DecDom1+34)</f>
        <v>43099</v>
      </c>
      <c r="I7" s="6">
        <f ca="1">IF(DAY(DecDom1)=1,DecDom1+28,DecDom1+35)</f>
        <v>43100</v>
      </c>
      <c r="J7" s="20"/>
      <c r="K7" s="39"/>
      <c r="L7" s="18"/>
    </row>
    <row r="8" spans="1:12" ht="30" customHeight="1" x14ac:dyDescent="0.25">
      <c r="A8" s="13"/>
      <c r="B8" s="18"/>
      <c r="C8" s="6">
        <f ca="1">IF(DAY(DecDom1)=1,DecDom1+29,DecDom1+36)</f>
        <v>43101</v>
      </c>
      <c r="D8" s="6">
        <f ca="1">IF(DAY(DecDom1)=1,DecDom1+30,DecDom1+37)</f>
        <v>43102</v>
      </c>
      <c r="E8" s="6">
        <f ca="1">IF(DAY(DecDom1)=1,DecDom1+31,DecDom1+38)</f>
        <v>43103</v>
      </c>
      <c r="F8" s="6">
        <f ca="1">IF(DAY(DecDom1)=1,DecDom1+32,DecDom1+39)</f>
        <v>43104</v>
      </c>
      <c r="G8" s="6">
        <f ca="1">IF(DAY(DecDom1)=1,DecDom1+33,DecDom1+40)</f>
        <v>43105</v>
      </c>
      <c r="H8" s="6">
        <f ca="1">IF(DAY(DecDom1)=1,DecDom1+34,DecDom1+41)</f>
        <v>43106</v>
      </c>
      <c r="I8" s="6">
        <f ca="1">IF(DAY(DecDom1)=1,DecDom1+35,DecDom1+42)</f>
        <v>43107</v>
      </c>
      <c r="J8" s="10" t="s">
        <v>31</v>
      </c>
      <c r="K8" s="40"/>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0"/>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18"/>
    </row>
    <row r="20" spans="1:12" ht="30" customHeight="1" x14ac:dyDescent="0.25">
      <c r="A20" s="26" t="s">
        <v>1</v>
      </c>
      <c r="B20" s="21"/>
      <c r="C20" s="65"/>
      <c r="D20" s="65"/>
      <c r="E20" s="65"/>
      <c r="F20" s="65"/>
      <c r="G20" s="65"/>
      <c r="H20" s="65"/>
      <c r="I20" s="22"/>
      <c r="J20" s="10" t="s">
        <v>33</v>
      </c>
      <c r="K20" s="40"/>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18"/>
    </row>
    <row r="26" spans="1:12" ht="30" customHeight="1" x14ac:dyDescent="0.25">
      <c r="A26" s="26" t="s">
        <v>1</v>
      </c>
      <c r="B26" s="21"/>
      <c r="C26" s="65"/>
      <c r="D26" s="65"/>
      <c r="E26" s="65"/>
      <c r="F26" s="65"/>
      <c r="G26" s="65"/>
      <c r="H26" s="65"/>
      <c r="I26" s="22"/>
      <c r="J26" s="32" t="s">
        <v>34</v>
      </c>
      <c r="K26" s="41"/>
      <c r="L26" s="68"/>
    </row>
    <row r="27" spans="1:12" ht="30" customHeight="1" x14ac:dyDescent="0.25">
      <c r="A27" s="26" t="s">
        <v>2</v>
      </c>
      <c r="B27" s="27"/>
      <c r="C27" s="60"/>
      <c r="D27" s="60"/>
      <c r="E27" s="60"/>
      <c r="F27" s="60"/>
      <c r="G27" s="60"/>
      <c r="H27" s="60"/>
      <c r="I27" s="30"/>
      <c r="J27" s="49"/>
      <c r="K27" s="46"/>
      <c r="L27" s="69"/>
    </row>
    <row r="28" spans="1:12" ht="30" customHeight="1" x14ac:dyDescent="0.25">
      <c r="A28" s="26" t="s">
        <v>1</v>
      </c>
      <c r="B28" s="21"/>
      <c r="C28" s="65" t="s">
        <v>12</v>
      </c>
      <c r="D28" s="65"/>
      <c r="E28" s="65"/>
      <c r="F28" s="65"/>
      <c r="G28" s="65" t="s">
        <v>12</v>
      </c>
      <c r="H28" s="65"/>
      <c r="I28" s="22"/>
      <c r="J28" s="49"/>
      <c r="K28" s="46"/>
      <c r="L28" s="69"/>
    </row>
    <row r="29" spans="1:12" ht="30" customHeight="1" x14ac:dyDescent="0.25">
      <c r="A29" s="26" t="s">
        <v>2</v>
      </c>
      <c r="B29" s="27"/>
      <c r="C29" s="60" t="s">
        <v>13</v>
      </c>
      <c r="D29" s="60"/>
      <c r="E29" s="60"/>
      <c r="F29" s="60"/>
      <c r="G29" s="60" t="s">
        <v>13</v>
      </c>
      <c r="H29" s="60"/>
      <c r="I29" s="30"/>
      <c r="J29" s="49"/>
      <c r="K29" s="46"/>
      <c r="L29" s="69"/>
    </row>
    <row r="30" spans="1:12" ht="30" customHeight="1" x14ac:dyDescent="0.25">
      <c r="A30" s="26" t="s">
        <v>1</v>
      </c>
      <c r="B30" s="21"/>
      <c r="C30" s="65"/>
      <c r="D30" s="65"/>
      <c r="E30" s="65"/>
      <c r="F30" s="65"/>
      <c r="G30" s="65"/>
      <c r="H30" s="65"/>
      <c r="I30" s="22"/>
      <c r="J30" s="49"/>
      <c r="K30" s="46"/>
      <c r="L30" s="69"/>
    </row>
    <row r="31" spans="1:12" ht="30" customHeight="1" x14ac:dyDescent="0.25">
      <c r="A31" s="26" t="s">
        <v>2</v>
      </c>
      <c r="B31" s="28"/>
      <c r="C31" s="62"/>
      <c r="D31" s="62"/>
      <c r="E31" s="62"/>
      <c r="F31" s="62"/>
      <c r="G31" s="62"/>
      <c r="H31" s="62"/>
      <c r="I31" s="29"/>
      <c r="J31" s="49"/>
      <c r="K31" s="46"/>
      <c r="L31" s="6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 priority="6" stopIfTrue="1">
      <formula>DAY(C3)&gt;8</formula>
    </cfRule>
  </conditionalFormatting>
  <conditionalFormatting sqref="C7:I8">
    <cfRule type="expression" dxfId="6" priority="5" stopIfTrue="1">
      <formula>AND(DAY(C7)&gt;=1,DAY(C7)&lt;=15)</formula>
    </cfRule>
  </conditionalFormatting>
  <conditionalFormatting sqref="C3:I8">
    <cfRule type="expression" dxfId="5" priority="7">
      <formula>VLOOKUP(DAY(C3),AssignmentDays,1,FALSE)=DAY(C3)</formula>
    </cfRule>
  </conditionalFormatting>
  <conditionalFormatting sqref="B13:I13 B15:I15 B17:I17 B19:I19 B21:I21 B23:I23 B25:I25 B27:I27 B29:I29 B31:I31">
    <cfRule type="expression" dxfId="4" priority="4">
      <formula>B13&lt;&gt;""</formula>
    </cfRule>
  </conditionalFormatting>
  <conditionalFormatting sqref="B12:I12 B14:I14 B16:I16 B18:I18 B20:I20 B22:I22 B24:I24 B26:I26 B28:I28 B30:I30">
    <cfRule type="expression" dxfId="3" priority="3">
      <formula>B12&lt;&gt;""</formula>
    </cfRule>
  </conditionalFormatting>
  <conditionalFormatting sqref="B13:I13 B15:I15 B17:I17 B19:I19 B21:I21 B23:I23 B25:I25 B27:I27 B29:I29">
    <cfRule type="expression" dxfId="2" priority="2">
      <formula>COLUMN(B13)&gt;=2</formula>
    </cfRule>
  </conditionalFormatting>
  <conditionalFormatting sqref="B12:I31">
    <cfRule type="expression" dxfId="1" priority="1">
      <formula>COLUMN(B12)&gt;2</formula>
    </cfRule>
  </conditionalFormatting>
  <dataValidations xWindow="282" yWindow="695" count="13">
    <dataValidation allowBlank="1" showInputMessage="1" showErrorMessage="1" prompt="El calendario de diciembre resalta automáticamente las entradas de la lista de tareas para el mes. Las fuentes más oscuras indican tareas. Las fuentes más claras indican días que pertenecen al mes anterior o siguiente." sqref="B2"/>
    <dataValidation allowBlank="1" showInputMessage="1" showErrorMessage="1" prompt="El año se actualiza automáticamente. Para cambiar el año, actualice la celda B1 en la hoja de cálculo de Ene." sqref="B1"/>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Escriba la hora en esta fila, de la columna B a la I." sqref="B12"/>
    <dataValidation allowBlank="1" showInputMessage="1" showErrorMessage="1" prompt="Escriba la clase en esta fila, de la columna B a la I." sqref="B13"/>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18</v>
      </c>
      <c r="C2" s="7" t="s">
        <v>30</v>
      </c>
      <c r="D2" s="7" t="s">
        <v>31</v>
      </c>
      <c r="E2" s="7" t="s">
        <v>32</v>
      </c>
      <c r="F2" s="7" t="s">
        <v>33</v>
      </c>
      <c r="G2" s="7" t="s">
        <v>34</v>
      </c>
      <c r="H2" s="7" t="s">
        <v>35</v>
      </c>
      <c r="I2" s="7" t="s">
        <v>36</v>
      </c>
      <c r="J2" s="10" t="s">
        <v>30</v>
      </c>
      <c r="K2" s="46"/>
      <c r="L2" s="53"/>
    </row>
    <row r="3" spans="1:12" ht="30" customHeight="1" x14ac:dyDescent="0.25">
      <c r="A3" s="13"/>
      <c r="C3" s="6">
        <f ca="1">IF(DAY(FebDom1)=1,FebDom1-6,FebDom1+1)</f>
        <v>42765</v>
      </c>
      <c r="D3" s="6">
        <f ca="1">IF(DAY(FebDom1)=1,FebDom1-5,FebDom1+2)</f>
        <v>42766</v>
      </c>
      <c r="E3" s="6">
        <f ca="1">IF(DAY(FebDom1)=1,FebDom1-4,FebDom1+3)</f>
        <v>42767</v>
      </c>
      <c r="F3" s="6">
        <f ca="1">IF(DAY(FebDom1)=1,FebDom1-3,FebDom1+4)</f>
        <v>42768</v>
      </c>
      <c r="G3" s="6">
        <f ca="1">IF(DAY(FebDom1)=1,FebDom1-2,FebDom1+5)</f>
        <v>42769</v>
      </c>
      <c r="H3" s="6">
        <f ca="1">IF(DAY(FebDom1)=1,FebDom1-1,FebDom1+6)</f>
        <v>42770</v>
      </c>
      <c r="I3" s="6">
        <f ca="1">IF(DAY(FebDom1)=1,FebDom1,FebDom1+7)</f>
        <v>42771</v>
      </c>
      <c r="J3" s="10"/>
      <c r="K3" s="40"/>
      <c r="L3" s="53"/>
    </row>
    <row r="4" spans="1:12" ht="30" customHeight="1" x14ac:dyDescent="0.25">
      <c r="A4" s="13"/>
      <c r="C4" s="6">
        <f ca="1">IF(DAY(FebDom1)=1,FebDom1+1,FebDom1+8)</f>
        <v>42772</v>
      </c>
      <c r="D4" s="6">
        <f ca="1">IF(DAY(FebDom1)=1,FebDom1+2,FebDom1+9)</f>
        <v>42773</v>
      </c>
      <c r="E4" s="6">
        <f ca="1">IF(DAY(FebDom1)=1,FebDom1+3,FebDom1+10)</f>
        <v>42774</v>
      </c>
      <c r="F4" s="6">
        <f ca="1">IF(DAY(FebDom1)=1,FebDom1+4,FebDom1+11)</f>
        <v>42775</v>
      </c>
      <c r="G4" s="6">
        <f ca="1">IF(DAY(FebDom1)=1,FebDom1+5,FebDom1+12)</f>
        <v>42776</v>
      </c>
      <c r="H4" s="6">
        <f ca="1">IF(DAY(FebDom1)=1,FebDom1+6,FebDom1+13)</f>
        <v>42777</v>
      </c>
      <c r="I4" s="6">
        <f ca="1">IF(DAY(FebDom1)=1,FebDom1+7,FebDom1+14)</f>
        <v>42778</v>
      </c>
      <c r="J4" s="10"/>
      <c r="K4" s="40"/>
      <c r="L4" s="53"/>
    </row>
    <row r="5" spans="1:12" ht="30" customHeight="1" x14ac:dyDescent="0.25">
      <c r="A5" s="13"/>
      <c r="C5" s="6">
        <f ca="1">IF(DAY(FebDom1)=1,FebDom1+8,FebDom1+15)</f>
        <v>42779</v>
      </c>
      <c r="D5" s="6">
        <f ca="1">IF(DAY(FebDom1)=1,FebDom1+9,FebDom1+16)</f>
        <v>42780</v>
      </c>
      <c r="E5" s="6">
        <f ca="1">IF(DAY(FebDom1)=1,FebDom1+10,FebDom1+17)</f>
        <v>42781</v>
      </c>
      <c r="F5" s="6">
        <f ca="1">IF(DAY(FebDom1)=1,FebDom1+11,FebDom1+18)</f>
        <v>42782</v>
      </c>
      <c r="G5" s="6">
        <f ca="1">IF(DAY(FebDom1)=1,FebDom1+12,FebDom1+19)</f>
        <v>42783</v>
      </c>
      <c r="H5" s="6">
        <f ca="1">IF(DAY(FebDom1)=1,FebDom1+13,FebDom1+20)</f>
        <v>42784</v>
      </c>
      <c r="I5" s="6">
        <f ca="1">IF(DAY(FebDom1)=1,FebDom1+14,FebDom1+21)</f>
        <v>42785</v>
      </c>
      <c r="J5" s="10"/>
      <c r="K5" s="40"/>
      <c r="L5" s="53"/>
    </row>
    <row r="6" spans="1:12" ht="30" customHeight="1" x14ac:dyDescent="0.25">
      <c r="A6" s="13"/>
      <c r="C6" s="6">
        <f ca="1">IF(DAY(FebDom1)=1,FebDom1+15,FebDom1+22)</f>
        <v>42786</v>
      </c>
      <c r="D6" s="6">
        <f ca="1">IF(DAY(FebDom1)=1,FebDom1+16,FebDom1+23)</f>
        <v>42787</v>
      </c>
      <c r="E6" s="6">
        <f ca="1">IF(DAY(FebDom1)=1,FebDom1+17,FebDom1+24)</f>
        <v>42788</v>
      </c>
      <c r="F6" s="6">
        <f ca="1">IF(DAY(FebDom1)=1,FebDom1+18,FebDom1+25)</f>
        <v>42789</v>
      </c>
      <c r="G6" s="6">
        <f ca="1">IF(DAY(FebDom1)=1,FebDom1+19,FebDom1+26)</f>
        <v>42790</v>
      </c>
      <c r="H6" s="6">
        <f ca="1">IF(DAY(FebDom1)=1,FebDom1+20,FebDom1+27)</f>
        <v>42791</v>
      </c>
      <c r="I6" s="6">
        <f ca="1">IF(DAY(FebDom1)=1,FebDom1+21,FebDom1+28)</f>
        <v>42792</v>
      </c>
      <c r="J6" s="10"/>
      <c r="K6" s="40"/>
      <c r="L6" s="53"/>
    </row>
    <row r="7" spans="1:12" ht="30" customHeight="1" x14ac:dyDescent="0.25">
      <c r="A7" s="13"/>
      <c r="C7" s="6">
        <f ca="1">IF(DAY(FebDom1)=1,FebDom1+22,FebDom1+29)</f>
        <v>42793</v>
      </c>
      <c r="D7" s="6">
        <f ca="1">IF(DAY(FebDom1)=1,FebDom1+23,FebDom1+30)</f>
        <v>42794</v>
      </c>
      <c r="E7" s="6">
        <f ca="1">IF(DAY(FebDom1)=1,FebDom1+24,FebDom1+31)</f>
        <v>42795</v>
      </c>
      <c r="F7" s="6">
        <f ca="1">IF(DAY(FebDom1)=1,FebDom1+25,FebDom1+32)</f>
        <v>42796</v>
      </c>
      <c r="G7" s="6">
        <f ca="1">IF(DAY(FebDom1)=1,FebDom1+26,FebDom1+33)</f>
        <v>42797</v>
      </c>
      <c r="H7" s="6">
        <f ca="1">IF(DAY(FebDom1)=1,FebDom1+27,FebDom1+34)</f>
        <v>42798</v>
      </c>
      <c r="I7" s="6">
        <f ca="1">IF(DAY(FebDom1)=1,FebDom1+28,FebDom1+35)</f>
        <v>42799</v>
      </c>
      <c r="J7" s="20"/>
      <c r="K7" s="39"/>
      <c r="L7" s="18"/>
    </row>
    <row r="8" spans="1:12" ht="30" customHeight="1" x14ac:dyDescent="0.25">
      <c r="A8" s="13"/>
      <c r="B8" s="18"/>
      <c r="C8" s="6">
        <f ca="1">IF(DAY(FebDom1)=1,FebDom1+29,FebDom1+36)</f>
        <v>42800</v>
      </c>
      <c r="D8" s="6">
        <f ca="1">IF(DAY(FebDom1)=1,FebDom1+30,FebDom1+37)</f>
        <v>42801</v>
      </c>
      <c r="E8" s="6">
        <f ca="1">IF(DAY(FebDom1)=1,FebDom1+31,FebDom1+38)</f>
        <v>42802</v>
      </c>
      <c r="F8" s="6">
        <f ca="1">IF(DAY(FebDom1)=1,FebDom1+32,FebDom1+39)</f>
        <v>42803</v>
      </c>
      <c r="G8" s="6">
        <f ca="1">IF(DAY(FebDom1)=1,FebDom1+33,FebDom1+40)</f>
        <v>42804</v>
      </c>
      <c r="H8" s="6">
        <f ca="1">IF(DAY(FebDom1)=1,FebDom1+34,FebDom1+41)</f>
        <v>42805</v>
      </c>
      <c r="I8" s="6">
        <f ca="1">IF(DAY(FebDom1)=1,FebDom1+35,FebDom1+42)</f>
        <v>42806</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6">
        <v>0.375</v>
      </c>
      <c r="D14" s="66"/>
      <c r="E14" s="66"/>
      <c r="F14" s="66"/>
      <c r="G14" s="66">
        <v>0.375</v>
      </c>
      <c r="H14" s="66"/>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6"/>
      <c r="D16" s="66"/>
      <c r="E16" s="66" t="s">
        <v>6</v>
      </c>
      <c r="F16" s="66"/>
      <c r="G16" s="66"/>
      <c r="H16" s="66"/>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6"/>
      <c r="D18" s="66"/>
      <c r="E18" s="66"/>
      <c r="F18" s="66"/>
      <c r="G18" s="66"/>
      <c r="H18" s="66"/>
      <c r="I18" s="22"/>
      <c r="J18" s="10"/>
      <c r="K18" s="40"/>
      <c r="L18" s="53"/>
    </row>
    <row r="19" spans="1:12" ht="30" customHeight="1" x14ac:dyDescent="0.25">
      <c r="A19" s="26" t="s">
        <v>2</v>
      </c>
      <c r="B19" s="27"/>
      <c r="C19" s="60"/>
      <c r="D19" s="60"/>
      <c r="E19" s="60"/>
      <c r="F19" s="60"/>
      <c r="G19" s="60"/>
      <c r="H19" s="60"/>
      <c r="I19" s="51"/>
      <c r="J19" s="20"/>
      <c r="K19" s="39"/>
      <c r="L19" s="18"/>
    </row>
    <row r="20" spans="1:12" ht="30" customHeight="1" x14ac:dyDescent="0.25">
      <c r="A20" s="26" t="s">
        <v>1</v>
      </c>
      <c r="B20" s="21"/>
      <c r="C20" s="66"/>
      <c r="D20" s="66"/>
      <c r="E20" s="66"/>
      <c r="F20" s="66"/>
      <c r="G20" s="66"/>
      <c r="H20" s="66"/>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6"/>
      <c r="D22" s="66"/>
      <c r="E22" s="66"/>
      <c r="F22" s="66"/>
      <c r="G22" s="66"/>
      <c r="H22" s="66"/>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6"/>
      <c r="D24" s="66"/>
      <c r="E24" s="66" t="s">
        <v>8</v>
      </c>
      <c r="F24" s="66"/>
      <c r="G24" s="66"/>
      <c r="H24" s="66"/>
      <c r="I24" s="22" t="s">
        <v>8</v>
      </c>
      <c r="J24" s="10"/>
      <c r="K24" s="40"/>
      <c r="L24" s="53"/>
    </row>
    <row r="25" spans="1:12" ht="30" customHeight="1" x14ac:dyDescent="0.25">
      <c r="A25" s="26" t="s">
        <v>2</v>
      </c>
      <c r="B25" s="27" t="s">
        <v>9</v>
      </c>
      <c r="C25" s="60"/>
      <c r="D25" s="60"/>
      <c r="E25" s="60" t="s">
        <v>9</v>
      </c>
      <c r="F25" s="60"/>
      <c r="G25" s="60"/>
      <c r="H25" s="60"/>
      <c r="I25" s="30" t="s">
        <v>9</v>
      </c>
      <c r="J25" s="20"/>
      <c r="K25" s="39"/>
      <c r="L25" s="18"/>
    </row>
    <row r="26" spans="1:12" ht="30" customHeight="1" x14ac:dyDescent="0.25">
      <c r="A26" s="26" t="s">
        <v>1</v>
      </c>
      <c r="B26" s="21"/>
      <c r="C26" s="66"/>
      <c r="D26" s="66"/>
      <c r="E26" s="66"/>
      <c r="F26" s="66"/>
      <c r="G26" s="66"/>
      <c r="H26" s="66"/>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6" t="s">
        <v>12</v>
      </c>
      <c r="D28" s="66"/>
      <c r="E28" s="66"/>
      <c r="F28" s="66"/>
      <c r="G28" s="66" t="s">
        <v>12</v>
      </c>
      <c r="H28" s="66"/>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6"/>
      <c r="D30" s="66"/>
      <c r="E30" s="66"/>
      <c r="F30" s="66"/>
      <c r="G30" s="66"/>
      <c r="H30" s="66"/>
      <c r="I30" s="22"/>
      <c r="J30" s="10"/>
      <c r="K30" s="40"/>
      <c r="L30" s="53"/>
    </row>
    <row r="31" spans="1:12" ht="30" customHeight="1" x14ac:dyDescent="0.25">
      <c r="A31" s="26" t="s">
        <v>2</v>
      </c>
      <c r="B31" s="31"/>
      <c r="C31" s="67"/>
      <c r="D31" s="67"/>
      <c r="E31" s="67"/>
      <c r="F31" s="67"/>
      <c r="G31" s="67"/>
      <c r="H31" s="67"/>
      <c r="I31" s="29"/>
      <c r="J31" s="10"/>
      <c r="K31" s="46"/>
      <c r="L31" s="53"/>
    </row>
  </sheetData>
  <mergeCells count="63">
    <mergeCell ref="C31:D31"/>
    <mergeCell ref="E31:F31"/>
    <mergeCell ref="G31:H31"/>
    <mergeCell ref="C29:D29"/>
    <mergeCell ref="E29:F29"/>
    <mergeCell ref="G29:H29"/>
    <mergeCell ref="C30:D30"/>
    <mergeCell ref="E30:F30"/>
    <mergeCell ref="G30:H30"/>
    <mergeCell ref="C28:D28"/>
    <mergeCell ref="E28:F28"/>
    <mergeCell ref="G28:H28"/>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9:D19"/>
    <mergeCell ref="E19:F19"/>
    <mergeCell ref="G19:H19"/>
    <mergeCell ref="C20:D20"/>
    <mergeCell ref="E20:F20"/>
    <mergeCell ref="G20:H20"/>
    <mergeCell ref="C17:D17"/>
    <mergeCell ref="E17:F17"/>
    <mergeCell ref="G17:H17"/>
    <mergeCell ref="C18:D18"/>
    <mergeCell ref="E18:F18"/>
    <mergeCell ref="G18:H18"/>
    <mergeCell ref="C13:D13"/>
    <mergeCell ref="E13:F13"/>
    <mergeCell ref="G13:H13"/>
    <mergeCell ref="C16:D16"/>
    <mergeCell ref="E16:F16"/>
    <mergeCell ref="G16:H16"/>
    <mergeCell ref="C14:D14"/>
    <mergeCell ref="E14:F14"/>
    <mergeCell ref="G14:H14"/>
    <mergeCell ref="C15:D15"/>
    <mergeCell ref="E15:F15"/>
    <mergeCell ref="G15:H15"/>
    <mergeCell ref="C11:D11"/>
    <mergeCell ref="E11:F11"/>
    <mergeCell ref="G11:H11"/>
    <mergeCell ref="C12:D12"/>
    <mergeCell ref="E12:F12"/>
    <mergeCell ref="G12:H12"/>
  </mergeCells>
  <conditionalFormatting sqref="C3:H3">
    <cfRule type="expression" dxfId="89" priority="9" stopIfTrue="1">
      <formula>DAY(C3)&gt;8</formula>
    </cfRule>
  </conditionalFormatting>
  <conditionalFormatting sqref="C7:I8">
    <cfRule type="expression" dxfId="88" priority="8" stopIfTrue="1">
      <formula>AND(DAY(C7)&gt;=1,DAY(C7)&lt;=15)</formula>
    </cfRule>
  </conditionalFormatting>
  <conditionalFormatting sqref="C3:I8">
    <cfRule type="expression" dxfId="87" priority="10">
      <formula>VLOOKUP(DAY(C3),AssignmentDays,1,FALSE)=DAY(C3)</formula>
    </cfRule>
  </conditionalFormatting>
  <conditionalFormatting sqref="B13:I13 B15:I15 B17:I17 B19:I19 B21:I21 B23:I23 B25:I25 B27:I27 B29:I29 B31:I31">
    <cfRule type="expression" dxfId="86" priority="7">
      <formula>B13&lt;&gt;""</formula>
    </cfRule>
  </conditionalFormatting>
  <conditionalFormatting sqref="B12:I12 B14:I14 B16:I16 B18:I18 B20:I20 B22:I22 B24:I24 B26:I26 B28:I28 B30:I30">
    <cfRule type="expression" dxfId="85" priority="6">
      <formula>B12&lt;&gt;""</formula>
    </cfRule>
  </conditionalFormatting>
  <conditionalFormatting sqref="B13:I13 B15:I15 B17:I17 B19:I19 B21:I21 B23:I23 B25:I25 B27:I27 B29:I29">
    <cfRule type="expression" dxfId="84" priority="4">
      <formula>COLUMN(B12)&gt;=2</formula>
    </cfRule>
  </conditionalFormatting>
  <conditionalFormatting sqref="B12:I31">
    <cfRule type="expression" dxfId="83" priority="1">
      <formula>COLUMN(B12)&gt;2</formula>
    </cfRule>
  </conditionalFormatting>
  <dataValidations xWindow="95" yWindow="532" count="13">
    <dataValidation allowBlank="1" showInputMessage="1" showErrorMessage="1" prompt="El calendario de febrero resalta automáticamente las entradas de la lista de tareas para el mes. Las fuentes más oscuras indican tareas. Las fuentes más claras indican días que pertenecen al mes anterior o siguiente." sqref="B2"/>
    <dataValidation allowBlank="1" showInputMessage="1" showErrorMessage="1" prompt="El año se actualiza automáticamente. Para cambiar el año, actualice la celda B1 en la hoja de cálculo de Ene." sqref="B1"/>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Escriba la hora en esta fila, de la columna B a la I." sqref="B12"/>
    <dataValidation allowBlank="1" showInputMessage="1" showErrorMessage="1" prompt="Escriba la clase en esta fila, de la columna B a la I." sqref="B13"/>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19</v>
      </c>
      <c r="C2" s="7" t="s">
        <v>30</v>
      </c>
      <c r="D2" s="7" t="s">
        <v>31</v>
      </c>
      <c r="E2" s="7" t="s">
        <v>32</v>
      </c>
      <c r="F2" s="7" t="s">
        <v>33</v>
      </c>
      <c r="G2" s="7" t="s">
        <v>34</v>
      </c>
      <c r="H2" s="7" t="s">
        <v>35</v>
      </c>
      <c r="I2" s="7" t="s">
        <v>36</v>
      </c>
      <c r="J2" s="10" t="s">
        <v>30</v>
      </c>
      <c r="K2" s="46"/>
      <c r="L2" s="53"/>
    </row>
    <row r="3" spans="1:12" ht="30" customHeight="1" x14ac:dyDescent="0.25">
      <c r="A3" s="13"/>
      <c r="C3" s="6">
        <f ca="1">IF(DAY(MarDom1)=1,MarDom1-6,MarDom1+1)</f>
        <v>42793</v>
      </c>
      <c r="D3" s="6">
        <f ca="1">IF(DAY(MarDom1)=1,MarDom1-5,MarDom1+2)</f>
        <v>42794</v>
      </c>
      <c r="E3" s="6">
        <f ca="1">IF(DAY(MarDom1)=1,MarDom1-4,MarDom1+3)</f>
        <v>42795</v>
      </c>
      <c r="F3" s="6">
        <f ca="1">IF(DAY(MarDom1)=1,MarDom1-3,MarDom1+4)</f>
        <v>42796</v>
      </c>
      <c r="G3" s="6">
        <f ca="1">IF(DAY(MarDom1)=1,MarDom1-2,MarDom1+5)</f>
        <v>42797</v>
      </c>
      <c r="H3" s="6">
        <f ca="1">IF(DAY(MarDom1)=1,MarDom1-1,MarDom1+6)</f>
        <v>42798</v>
      </c>
      <c r="I3" s="6">
        <f ca="1">IF(DAY(MarDom1)=1,MarDom1,MarDom1+7)</f>
        <v>42799</v>
      </c>
      <c r="J3" s="10"/>
      <c r="K3" s="40"/>
      <c r="L3" s="53"/>
    </row>
    <row r="4" spans="1:12" ht="30" customHeight="1" x14ac:dyDescent="0.25">
      <c r="A4" s="13"/>
      <c r="C4" s="6">
        <f ca="1">IF(DAY(MarDom1)=1,MarDom1+1,MarDom1+8)</f>
        <v>42800</v>
      </c>
      <c r="D4" s="6">
        <f ca="1">IF(DAY(MarDom1)=1,MarDom1+2,MarDom1+9)</f>
        <v>42801</v>
      </c>
      <c r="E4" s="6">
        <f ca="1">IF(DAY(MarDom1)=1,MarDom1+3,MarDom1+10)</f>
        <v>42802</v>
      </c>
      <c r="F4" s="6">
        <f ca="1">IF(DAY(MarDom1)=1,MarDom1+4,MarDom1+11)</f>
        <v>42803</v>
      </c>
      <c r="G4" s="6">
        <f ca="1">IF(DAY(MarDom1)=1,MarDom1+5,MarDom1+12)</f>
        <v>42804</v>
      </c>
      <c r="H4" s="6">
        <f ca="1">IF(DAY(MarDom1)=1,MarDom1+6,MarDom1+13)</f>
        <v>42805</v>
      </c>
      <c r="I4" s="6">
        <f ca="1">IF(DAY(MarDom1)=1,MarDom1+7,MarDom1+14)</f>
        <v>42806</v>
      </c>
      <c r="J4" s="10"/>
      <c r="K4" s="40"/>
      <c r="L4" s="53"/>
    </row>
    <row r="5" spans="1:12" ht="30" customHeight="1" x14ac:dyDescent="0.25">
      <c r="A5" s="13"/>
      <c r="C5" s="6">
        <f ca="1">IF(DAY(MarDom1)=1,MarDom1+8,MarDom1+15)</f>
        <v>42807</v>
      </c>
      <c r="D5" s="6">
        <f ca="1">IF(DAY(MarDom1)=1,MarDom1+9,MarDom1+16)</f>
        <v>42808</v>
      </c>
      <c r="E5" s="6">
        <f ca="1">IF(DAY(MarDom1)=1,MarDom1+10,MarDom1+17)</f>
        <v>42809</v>
      </c>
      <c r="F5" s="6">
        <f ca="1">IF(DAY(MarDom1)=1,MarDom1+11,MarDom1+18)</f>
        <v>42810</v>
      </c>
      <c r="G5" s="6">
        <f ca="1">IF(DAY(MarDom1)=1,MarDom1+12,MarDom1+19)</f>
        <v>42811</v>
      </c>
      <c r="H5" s="6">
        <f ca="1">IF(DAY(MarDom1)=1,MarDom1+13,MarDom1+20)</f>
        <v>42812</v>
      </c>
      <c r="I5" s="6">
        <f ca="1">IF(DAY(MarDom1)=1,MarDom1+14,MarDom1+21)</f>
        <v>42813</v>
      </c>
      <c r="J5" s="10"/>
      <c r="K5" s="40"/>
      <c r="L5" s="53"/>
    </row>
    <row r="6" spans="1:12" ht="30" customHeight="1" x14ac:dyDescent="0.25">
      <c r="A6" s="13"/>
      <c r="C6" s="6">
        <f ca="1">IF(DAY(MarDom1)=1,MarDom1+15,MarDom1+22)</f>
        <v>42814</v>
      </c>
      <c r="D6" s="6">
        <f ca="1">IF(DAY(MarDom1)=1,MarDom1+16,MarDom1+23)</f>
        <v>42815</v>
      </c>
      <c r="E6" s="6">
        <f ca="1">IF(DAY(MarDom1)=1,MarDom1+17,MarDom1+24)</f>
        <v>42816</v>
      </c>
      <c r="F6" s="6">
        <f ca="1">IF(DAY(MarDom1)=1,MarDom1+18,MarDom1+25)</f>
        <v>42817</v>
      </c>
      <c r="G6" s="6">
        <f ca="1">IF(DAY(MarDom1)=1,MarDom1+19,MarDom1+26)</f>
        <v>42818</v>
      </c>
      <c r="H6" s="6">
        <f ca="1">IF(DAY(MarDom1)=1,MarDom1+20,MarDom1+27)</f>
        <v>42819</v>
      </c>
      <c r="I6" s="6">
        <f ca="1">IF(DAY(MarDom1)=1,MarDom1+21,MarDom1+28)</f>
        <v>42820</v>
      </c>
      <c r="J6" s="10"/>
      <c r="K6" s="40"/>
      <c r="L6" s="53"/>
    </row>
    <row r="7" spans="1:12" ht="30" customHeight="1" x14ac:dyDescent="0.25">
      <c r="A7" s="13"/>
      <c r="C7" s="6">
        <f ca="1">IF(DAY(MarDom1)=1,MarDom1+22,MarDom1+29)</f>
        <v>42821</v>
      </c>
      <c r="D7" s="6">
        <f ca="1">IF(DAY(MarDom1)=1,MarDom1+23,MarDom1+30)</f>
        <v>42822</v>
      </c>
      <c r="E7" s="6">
        <f ca="1">IF(DAY(MarDom1)=1,MarDom1+24,MarDom1+31)</f>
        <v>42823</v>
      </c>
      <c r="F7" s="6">
        <f ca="1">IF(DAY(MarDom1)=1,MarDom1+25,MarDom1+32)</f>
        <v>42824</v>
      </c>
      <c r="G7" s="6">
        <f ca="1">IF(DAY(MarDom1)=1,MarDom1+26,MarDom1+33)</f>
        <v>42825</v>
      </c>
      <c r="H7" s="6">
        <f ca="1">IF(DAY(MarDom1)=1,MarDom1+27,MarDom1+34)</f>
        <v>42826</v>
      </c>
      <c r="I7" s="6">
        <f ca="1">IF(DAY(MarDom1)=1,MarDom1+28,MarDom1+35)</f>
        <v>42827</v>
      </c>
      <c r="J7" s="20"/>
      <c r="K7" s="39"/>
      <c r="L7" s="18"/>
    </row>
    <row r="8" spans="1:12" ht="30" customHeight="1" x14ac:dyDescent="0.25">
      <c r="A8" s="13"/>
      <c r="B8" s="18"/>
      <c r="C8" s="6">
        <f ca="1">IF(DAY(MarDom1)=1,MarDom1+29,MarDom1+36)</f>
        <v>42828</v>
      </c>
      <c r="D8" s="6">
        <f ca="1">IF(DAY(MarDom1)=1,MarDom1+30,MarDom1+37)</f>
        <v>42829</v>
      </c>
      <c r="E8" s="6">
        <f ca="1">IF(DAY(MarDom1)=1,MarDom1+31,MarDom1+38)</f>
        <v>42830</v>
      </c>
      <c r="F8" s="6">
        <f ca="1">IF(DAY(MarDom1)=1,MarDom1+32,MarDom1+39)</f>
        <v>42831</v>
      </c>
      <c r="G8" s="6">
        <f ca="1">IF(DAY(MarDom1)=1,MarDom1+33,MarDom1+40)</f>
        <v>42832</v>
      </c>
      <c r="H8" s="6">
        <f ca="1">IF(DAY(MarDom1)=1,MarDom1+34,MarDom1+41)</f>
        <v>42833</v>
      </c>
      <c r="I8" s="6">
        <f ca="1">IF(DAY(MarDom1)=1,MarDom1+35,MarDom1+42)</f>
        <v>42834</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5" t="s">
        <v>12</v>
      </c>
      <c r="D28" s="65"/>
      <c r="E28" s="65"/>
      <c r="F28" s="65"/>
      <c r="G28" s="65" t="s">
        <v>12</v>
      </c>
      <c r="H28" s="65"/>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5"/>
      <c r="D30" s="65"/>
      <c r="E30" s="65"/>
      <c r="F30" s="65"/>
      <c r="G30" s="65"/>
      <c r="H30" s="65"/>
      <c r="I30" s="22"/>
      <c r="J30" s="10"/>
      <c r="K30" s="40"/>
      <c r="L30" s="53"/>
    </row>
    <row r="31" spans="1:12" ht="30" customHeight="1" x14ac:dyDescent="0.25">
      <c r="A31" s="26" t="s">
        <v>2</v>
      </c>
      <c r="B31" s="28"/>
      <c r="C31" s="62"/>
      <c r="D31" s="62"/>
      <c r="E31" s="62"/>
      <c r="F31" s="62"/>
      <c r="G31" s="62"/>
      <c r="H31" s="62"/>
      <c r="I31" s="29"/>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81" priority="6" stopIfTrue="1">
      <formula>DAY(C3)&gt;8</formula>
    </cfRule>
  </conditionalFormatting>
  <conditionalFormatting sqref="C7:I8">
    <cfRule type="expression" dxfId="80" priority="5" stopIfTrue="1">
      <formula>AND(DAY(C7)&gt;=1,DAY(C7)&lt;=15)</formula>
    </cfRule>
  </conditionalFormatting>
  <conditionalFormatting sqref="C3:I8">
    <cfRule type="expression" dxfId="79" priority="7">
      <formula>VLOOKUP(DAY(C3),AssignmentDays,1,FALSE)=DAY(C3)</formula>
    </cfRule>
  </conditionalFormatting>
  <conditionalFormatting sqref="B13:I13 B15:I15 B17:I17 B19:I19 B21:I21 B23:I23 B25:I25 B27:I27 B29:I29 B31:I31">
    <cfRule type="expression" dxfId="78" priority="4">
      <formula>B13&lt;&gt;""</formula>
    </cfRule>
  </conditionalFormatting>
  <conditionalFormatting sqref="B12:I12 B14:I14 B16:I16 B18:I18 B20:I20 B22:I22 B24:I24 B26:I26 B28:I28 B30:I30">
    <cfRule type="expression" dxfId="77" priority="3">
      <formula>B12&lt;&gt;""</formula>
    </cfRule>
  </conditionalFormatting>
  <conditionalFormatting sqref="B13:I13 B15:I15 B17:I17 B19:I19 B21:I21 B23:I23 B25:I25 B27:I27 B29:I29">
    <cfRule type="expression" dxfId="76" priority="2">
      <formula>COLUMN(B12)&gt;=2</formula>
    </cfRule>
  </conditionalFormatting>
  <conditionalFormatting sqref="B12:I31">
    <cfRule type="expression" dxfId="75" priority="1">
      <formula>COLUMN(B12)&gt;2</formula>
    </cfRule>
  </conditionalFormatting>
  <dataValidations count="13">
    <dataValidation allowBlank="1" showInputMessage="1" showErrorMessage="1" prompt="Escriba la clase en esta fila, de la columna B a la I." sqref="B13"/>
    <dataValidation allowBlank="1" showInputMessage="1" showErrorMessage="1" prompt="Escriba la hora en esta fila, de la columna B a la I." sqref="B12"/>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Si esta celda no contiene el número 1, se trata de un día del mes anterior. Las celdas C3 a I8 contienen fechas para el mes actual." sqref="C3"/>
    <dataValidation allowBlank="1" showInputMessage="1" showErrorMessage="1" prompt="Las celdas C2 a I2 contienen días de la semana." sqref="C2"/>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El año se actualiza automáticamente. Para cambiar el año, actualice la celda B1 en la hoja de cálculo de Ene." sqref="B1"/>
    <dataValidation allowBlank="1" showInputMessage="1" showErrorMessage="1" prompt="El calendario de marzo resalta automáticamente las entradas de la lista de tareas para el mes. Las fuentes más oscuras indican tareas. Las fuentes más claras indican días que pertenecen al mes anterior o siguiente." sqref="B2"/>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5"/>
  <cols>
    <col min="1" max="1" width="2.625" style="1" customWidth="1"/>
    <col min="2" max="2" width="20.625" style="17"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20</v>
      </c>
      <c r="C2" s="7" t="s">
        <v>30</v>
      </c>
      <c r="D2" s="7" t="s">
        <v>31</v>
      </c>
      <c r="E2" s="7" t="s">
        <v>32</v>
      </c>
      <c r="F2" s="7" t="s">
        <v>33</v>
      </c>
      <c r="G2" s="7" t="s">
        <v>34</v>
      </c>
      <c r="H2" s="7" t="s">
        <v>35</v>
      </c>
      <c r="I2" s="7" t="s">
        <v>36</v>
      </c>
      <c r="J2" s="10" t="s">
        <v>30</v>
      </c>
      <c r="K2" s="46"/>
      <c r="L2" s="53"/>
    </row>
    <row r="3" spans="1:12" ht="30" customHeight="1" x14ac:dyDescent="0.25">
      <c r="A3" s="13"/>
      <c r="C3" s="6">
        <f ca="1">IF(DAY(AbrDom1)=1,AbrDom1-6,AbrDom1+1)</f>
        <v>42821</v>
      </c>
      <c r="D3" s="6">
        <f ca="1">IF(DAY(AbrDom1)=1,AbrDom1-5,AbrDom1+2)</f>
        <v>42822</v>
      </c>
      <c r="E3" s="6">
        <f ca="1">IF(DAY(AbrDom1)=1,AbrDom1-4,AbrDom1+3)</f>
        <v>42823</v>
      </c>
      <c r="F3" s="6">
        <f ca="1">IF(DAY(AbrDom1)=1,AbrDom1-3,AbrDom1+4)</f>
        <v>42824</v>
      </c>
      <c r="G3" s="6">
        <f ca="1">IF(DAY(AbrDom1)=1,AbrDom1-2,AbrDom1+5)</f>
        <v>42825</v>
      </c>
      <c r="H3" s="6">
        <f ca="1">IF(DAY(AbrDom1)=1,AbrDom1-1,AbrDom1+6)</f>
        <v>42826</v>
      </c>
      <c r="I3" s="6">
        <f ca="1">IF(DAY(AbrDom1)=1,AbrDom1,AbrDom1+7)</f>
        <v>42827</v>
      </c>
      <c r="K3" s="40"/>
      <c r="L3" s="53"/>
    </row>
    <row r="4" spans="1:12" ht="30" customHeight="1" x14ac:dyDescent="0.25">
      <c r="A4" s="13"/>
      <c r="C4" s="6">
        <f ca="1">IF(DAY(AbrDom1)=1,AbrDom1+1,AbrDom1+8)</f>
        <v>42828</v>
      </c>
      <c r="D4" s="6">
        <f ca="1">IF(DAY(AbrDom1)=1,AbrDom1+2,AbrDom1+9)</f>
        <v>42829</v>
      </c>
      <c r="E4" s="6">
        <f ca="1">IF(DAY(AbrDom1)=1,AbrDom1+3,AbrDom1+10)</f>
        <v>42830</v>
      </c>
      <c r="F4" s="6">
        <f ca="1">IF(DAY(AbrDom1)=1,AbrDom1+4,AbrDom1+11)</f>
        <v>42831</v>
      </c>
      <c r="G4" s="6">
        <f ca="1">IF(DAY(AbrDom1)=1,AbrDom1+5,AbrDom1+12)</f>
        <v>42832</v>
      </c>
      <c r="H4" s="6">
        <f ca="1">IF(DAY(AbrDom1)=1,AbrDom1+6,AbrDom1+13)</f>
        <v>42833</v>
      </c>
      <c r="I4" s="6">
        <f ca="1">IF(DAY(AbrDom1)=1,AbrDom1+7,AbrDom1+14)</f>
        <v>42834</v>
      </c>
      <c r="K4" s="40"/>
      <c r="L4" s="53"/>
    </row>
    <row r="5" spans="1:12" ht="30" customHeight="1" x14ac:dyDescent="0.25">
      <c r="A5" s="13"/>
      <c r="C5" s="6">
        <f ca="1">IF(DAY(AbrDom1)=1,AbrDom1+8,AbrDom1+15)</f>
        <v>42835</v>
      </c>
      <c r="D5" s="6">
        <f ca="1">IF(DAY(AbrDom1)=1,AbrDom1+9,AbrDom1+16)</f>
        <v>42836</v>
      </c>
      <c r="E5" s="6">
        <f ca="1">IF(DAY(AbrDom1)=1,AbrDom1+10,AbrDom1+17)</f>
        <v>42837</v>
      </c>
      <c r="F5" s="6">
        <f ca="1">IF(DAY(AbrDom1)=1,AbrDom1+11,AbrDom1+18)</f>
        <v>42838</v>
      </c>
      <c r="G5" s="6">
        <f ca="1">IF(DAY(AbrDom1)=1,AbrDom1+12,AbrDom1+19)</f>
        <v>42839</v>
      </c>
      <c r="H5" s="6">
        <f ca="1">IF(DAY(AbrDom1)=1,AbrDom1+13,AbrDom1+20)</f>
        <v>42840</v>
      </c>
      <c r="I5" s="6">
        <f ca="1">IF(DAY(AbrDom1)=1,AbrDom1+14,AbrDom1+21)</f>
        <v>42841</v>
      </c>
      <c r="K5" s="40"/>
      <c r="L5" s="53"/>
    </row>
    <row r="6" spans="1:12" ht="30" customHeight="1" x14ac:dyDescent="0.25">
      <c r="A6" s="13"/>
      <c r="C6" s="6">
        <f ca="1">IF(DAY(AbrDom1)=1,AbrDom1+15,AbrDom1+22)</f>
        <v>42842</v>
      </c>
      <c r="D6" s="6">
        <f ca="1">IF(DAY(AbrDom1)=1,AbrDom1+16,AbrDom1+23)</f>
        <v>42843</v>
      </c>
      <c r="E6" s="6">
        <f ca="1">IF(DAY(AbrDom1)=1,AbrDom1+17,AbrDom1+24)</f>
        <v>42844</v>
      </c>
      <c r="F6" s="6">
        <f ca="1">IF(DAY(AbrDom1)=1,AbrDom1+18,AbrDom1+25)</f>
        <v>42845</v>
      </c>
      <c r="G6" s="6">
        <f ca="1">IF(DAY(AbrDom1)=1,AbrDom1+19,AbrDom1+26)</f>
        <v>42846</v>
      </c>
      <c r="H6" s="6">
        <f ca="1">IF(DAY(AbrDom1)=1,AbrDom1+20,AbrDom1+27)</f>
        <v>42847</v>
      </c>
      <c r="I6" s="6">
        <f ca="1">IF(DAY(AbrDom1)=1,AbrDom1+21,AbrDom1+28)</f>
        <v>42848</v>
      </c>
      <c r="K6" s="40"/>
      <c r="L6" s="53"/>
    </row>
    <row r="7" spans="1:12" ht="30" customHeight="1" x14ac:dyDescent="0.25">
      <c r="A7" s="13"/>
      <c r="C7" s="6">
        <f ca="1">IF(DAY(AbrDom1)=1,AbrDom1+22,AbrDom1+29)</f>
        <v>42849</v>
      </c>
      <c r="D7" s="6">
        <f ca="1">IF(DAY(AbrDom1)=1,AbrDom1+23,AbrDom1+30)</f>
        <v>42850</v>
      </c>
      <c r="E7" s="6">
        <f ca="1">IF(DAY(AbrDom1)=1,AbrDom1+24,AbrDom1+31)</f>
        <v>42851</v>
      </c>
      <c r="F7" s="6">
        <f ca="1">IF(DAY(AbrDom1)=1,AbrDom1+25,AbrDom1+32)</f>
        <v>42852</v>
      </c>
      <c r="G7" s="6">
        <f ca="1">IF(DAY(AbrDom1)=1,AbrDom1+26,AbrDom1+33)</f>
        <v>42853</v>
      </c>
      <c r="H7" s="6">
        <f ca="1">IF(DAY(AbrDom1)=1,AbrDom1+27,AbrDom1+34)</f>
        <v>42854</v>
      </c>
      <c r="I7" s="6">
        <f ca="1">IF(DAY(AbrDom1)=1,AbrDom1+28,AbrDom1+35)</f>
        <v>42855</v>
      </c>
      <c r="J7" s="20"/>
      <c r="K7" s="39"/>
      <c r="L7" s="18"/>
    </row>
    <row r="8" spans="1:12" ht="30" customHeight="1" x14ac:dyDescent="0.25">
      <c r="A8" s="13"/>
      <c r="B8" s="18"/>
      <c r="C8" s="6">
        <f ca="1">IF(DAY(AbrDom1)=1,AbrDom1+29,AbrDom1+36)</f>
        <v>42856</v>
      </c>
      <c r="D8" s="6">
        <f ca="1">IF(DAY(AbrDom1)=1,AbrDom1+30,AbrDom1+37)</f>
        <v>42857</v>
      </c>
      <c r="E8" s="6">
        <f ca="1">IF(DAY(AbrDom1)=1,AbrDom1+31,AbrDom1+38)</f>
        <v>42858</v>
      </c>
      <c r="F8" s="6">
        <f ca="1">IF(DAY(AbrDom1)=1,AbrDom1+32,AbrDom1+39)</f>
        <v>42859</v>
      </c>
      <c r="G8" s="6">
        <f ca="1">IF(DAY(AbrDom1)=1,AbrDom1+33,AbrDom1+40)</f>
        <v>42860</v>
      </c>
      <c r="H8" s="6">
        <f ca="1">IF(DAY(AbrDom1)=1,AbrDom1+34,AbrDom1+41)</f>
        <v>42861</v>
      </c>
      <c r="I8" s="6">
        <f ca="1">IF(DAY(AbrDom1)=1,AbrDom1+35,AbrDom1+42)</f>
        <v>42862</v>
      </c>
      <c r="J8" s="10" t="s">
        <v>31</v>
      </c>
      <c r="K8" s="41"/>
      <c r="L8" s="53"/>
    </row>
    <row r="9" spans="1:12" ht="30" customHeight="1" x14ac:dyDescent="0.25">
      <c r="A9" s="13"/>
      <c r="C9" s="4"/>
      <c r="D9" s="4"/>
      <c r="E9" s="4"/>
      <c r="F9" s="4"/>
      <c r="G9" s="4"/>
      <c r="H9" s="4"/>
      <c r="I9" s="4"/>
      <c r="K9" s="40"/>
      <c r="L9" s="53"/>
    </row>
    <row r="10" spans="1:12" ht="30" customHeight="1" x14ac:dyDescent="0.25">
      <c r="A10" s="13"/>
      <c r="B10" s="16" t="s">
        <v>4</v>
      </c>
      <c r="C10" s="9"/>
      <c r="D10" s="9"/>
      <c r="E10" s="9"/>
      <c r="F10" s="9"/>
      <c r="G10" s="9"/>
      <c r="H10" s="9"/>
      <c r="I10" s="9"/>
      <c r="K10" s="40"/>
      <c r="L10" s="53"/>
    </row>
    <row r="11" spans="1:12" ht="30" customHeight="1" x14ac:dyDescent="0.25">
      <c r="A11" s="26" t="s">
        <v>0</v>
      </c>
      <c r="B11" s="25" t="s">
        <v>30</v>
      </c>
      <c r="C11" s="58" t="s">
        <v>31</v>
      </c>
      <c r="D11" s="59"/>
      <c r="E11" s="58" t="s">
        <v>32</v>
      </c>
      <c r="F11" s="59"/>
      <c r="G11" s="58" t="s">
        <v>33</v>
      </c>
      <c r="H11" s="59"/>
      <c r="I11" s="3" t="s">
        <v>34</v>
      </c>
      <c r="K11" s="40"/>
      <c r="L11" s="53"/>
    </row>
    <row r="12" spans="1:12" ht="30" customHeight="1" x14ac:dyDescent="0.25">
      <c r="A12" s="26" t="s">
        <v>1</v>
      </c>
      <c r="B12" s="21">
        <v>0.33333333333333331</v>
      </c>
      <c r="C12" s="65"/>
      <c r="D12" s="65"/>
      <c r="E12" s="65">
        <v>0.33333333333333331</v>
      </c>
      <c r="F12" s="65"/>
      <c r="G12" s="65"/>
      <c r="H12" s="65"/>
      <c r="I12" s="22">
        <v>0.33333333333333331</v>
      </c>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K15" s="40"/>
      <c r="L15" s="53"/>
    </row>
    <row r="16" spans="1:12" ht="30" customHeight="1" x14ac:dyDescent="0.25">
      <c r="A16" s="26" t="s">
        <v>1</v>
      </c>
      <c r="B16" s="21" t="s">
        <v>6</v>
      </c>
      <c r="C16" s="65"/>
      <c r="D16" s="65"/>
      <c r="E16" s="65" t="s">
        <v>6</v>
      </c>
      <c r="F16" s="65"/>
      <c r="G16" s="65"/>
      <c r="H16" s="65"/>
      <c r="I16" s="24" t="s">
        <v>6</v>
      </c>
      <c r="K16" s="40"/>
      <c r="L16" s="53"/>
    </row>
    <row r="17" spans="1:12" ht="30" customHeight="1" x14ac:dyDescent="0.25">
      <c r="A17" s="26" t="s">
        <v>2</v>
      </c>
      <c r="B17" s="27" t="s">
        <v>7</v>
      </c>
      <c r="C17" s="60"/>
      <c r="D17" s="60"/>
      <c r="E17" s="60" t="s">
        <v>7</v>
      </c>
      <c r="F17" s="60"/>
      <c r="G17" s="60"/>
      <c r="H17" s="60"/>
      <c r="I17" s="30" t="s">
        <v>7</v>
      </c>
      <c r="K17" s="40"/>
      <c r="L17" s="53"/>
    </row>
    <row r="18" spans="1:12" ht="30" customHeight="1" x14ac:dyDescent="0.25">
      <c r="A18" s="26" t="s">
        <v>1</v>
      </c>
      <c r="B18" s="21"/>
      <c r="C18" s="65"/>
      <c r="D18" s="65"/>
      <c r="E18" s="65"/>
      <c r="F18" s="65"/>
      <c r="G18" s="65"/>
      <c r="H18" s="65"/>
      <c r="I18" s="22"/>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K21" s="40"/>
      <c r="L21" s="53"/>
    </row>
    <row r="22" spans="1:12" ht="30" customHeight="1" x14ac:dyDescent="0.25">
      <c r="A22" s="26" t="s">
        <v>1</v>
      </c>
      <c r="B22" s="21"/>
      <c r="C22" s="65"/>
      <c r="D22" s="65"/>
      <c r="E22" s="65"/>
      <c r="F22" s="65"/>
      <c r="G22" s="65"/>
      <c r="H22" s="65"/>
      <c r="I22" s="22"/>
      <c r="K22" s="40"/>
      <c r="L22" s="53"/>
    </row>
    <row r="23" spans="1:12" ht="30" customHeight="1" x14ac:dyDescent="0.25">
      <c r="A23" s="26" t="s">
        <v>2</v>
      </c>
      <c r="B23" s="27"/>
      <c r="C23" s="60"/>
      <c r="D23" s="60"/>
      <c r="E23" s="60"/>
      <c r="F23" s="60"/>
      <c r="G23" s="60"/>
      <c r="H23" s="60"/>
      <c r="I23" s="30"/>
      <c r="K23" s="40"/>
      <c r="L23" s="53"/>
    </row>
    <row r="24" spans="1:12" ht="30" customHeight="1" x14ac:dyDescent="0.25">
      <c r="A24" s="26" t="s">
        <v>1</v>
      </c>
      <c r="B24" s="21" t="s">
        <v>8</v>
      </c>
      <c r="C24" s="65"/>
      <c r="D24" s="65"/>
      <c r="E24" s="65" t="s">
        <v>8</v>
      </c>
      <c r="F24" s="65"/>
      <c r="G24" s="65"/>
      <c r="H24" s="65"/>
      <c r="I24" s="22" t="s">
        <v>8</v>
      </c>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t="s">
        <v>21</v>
      </c>
    </row>
    <row r="27" spans="1:12" ht="30" customHeight="1" x14ac:dyDescent="0.25">
      <c r="A27" s="26" t="s">
        <v>2</v>
      </c>
      <c r="B27" s="27"/>
      <c r="C27" s="60"/>
      <c r="D27" s="60"/>
      <c r="E27" s="60"/>
      <c r="F27" s="60"/>
      <c r="G27" s="60"/>
      <c r="H27" s="60"/>
      <c r="I27" s="30"/>
      <c r="K27" s="40"/>
      <c r="L27" s="53"/>
    </row>
    <row r="28" spans="1:12" ht="30" customHeight="1" x14ac:dyDescent="0.25">
      <c r="A28" s="26" t="s">
        <v>1</v>
      </c>
      <c r="B28" s="21"/>
      <c r="C28" s="65" t="s">
        <v>12</v>
      </c>
      <c r="D28" s="65"/>
      <c r="E28" s="65"/>
      <c r="F28" s="65"/>
      <c r="G28" s="65" t="s">
        <v>12</v>
      </c>
      <c r="H28" s="65"/>
      <c r="I28" s="22"/>
      <c r="K28" s="40"/>
      <c r="L28" s="53"/>
    </row>
    <row r="29" spans="1:12" ht="30" customHeight="1" x14ac:dyDescent="0.25">
      <c r="A29" s="26" t="s">
        <v>2</v>
      </c>
      <c r="B29" s="27"/>
      <c r="C29" s="60" t="s">
        <v>13</v>
      </c>
      <c r="D29" s="60"/>
      <c r="E29" s="60"/>
      <c r="F29" s="60"/>
      <c r="G29" s="60" t="s">
        <v>13</v>
      </c>
      <c r="H29" s="60"/>
      <c r="I29" s="30"/>
      <c r="K29" s="40"/>
      <c r="L29" s="53"/>
    </row>
    <row r="30" spans="1:12" ht="30" customHeight="1" x14ac:dyDescent="0.25">
      <c r="A30" s="26" t="s">
        <v>1</v>
      </c>
      <c r="B30" s="21"/>
      <c r="C30" s="65"/>
      <c r="D30" s="65"/>
      <c r="E30" s="65"/>
      <c r="F30" s="65"/>
      <c r="G30" s="65"/>
      <c r="H30" s="65"/>
      <c r="I30" s="22"/>
      <c r="K30" s="40"/>
      <c r="L30" s="53"/>
    </row>
    <row r="31" spans="1:12" ht="30" customHeight="1" x14ac:dyDescent="0.25">
      <c r="A31" s="26" t="s">
        <v>2</v>
      </c>
      <c r="B31" s="28"/>
      <c r="C31" s="62"/>
      <c r="D31" s="62"/>
      <c r="E31" s="62"/>
      <c r="F31" s="62"/>
      <c r="G31" s="62"/>
      <c r="H31" s="62"/>
      <c r="I31" s="29"/>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3" priority="6" stopIfTrue="1">
      <formula>DAY(C3)&gt;8</formula>
    </cfRule>
  </conditionalFormatting>
  <conditionalFormatting sqref="C7:I8">
    <cfRule type="expression" dxfId="72" priority="5" stopIfTrue="1">
      <formula>AND(DAY(C7)&gt;=1,DAY(C7)&lt;=15)</formula>
    </cfRule>
  </conditionalFormatting>
  <conditionalFormatting sqref="C3:I8">
    <cfRule type="expression" dxfId="71" priority="7">
      <formula>VLOOKUP(DAY(C3),AssignmentDays,1,FALSE)=DAY(C3)</formula>
    </cfRule>
  </conditionalFormatting>
  <conditionalFormatting sqref="B13:I13 B15:I15 B17:I17 B19:I19 B21:I21 B23:I23 B25:I25 B27:I27 B29:I29 B31:I31">
    <cfRule type="expression" dxfId="70" priority="4">
      <formula>B13&lt;&gt;""</formula>
    </cfRule>
  </conditionalFormatting>
  <conditionalFormatting sqref="B12:I12 B14:I14 B16:I16 B18:I18 B20:I20 B22:I22 B24:I24 B26:I26 B28:I28 B30:I30">
    <cfRule type="expression" dxfId="69" priority="3">
      <formula>B12&lt;&gt;""</formula>
    </cfRule>
  </conditionalFormatting>
  <conditionalFormatting sqref="B13:I13 B15:I15 B17:I17 B19:I19 B21:I21 B23:I23 B25:I25 B27:I27 B29:I29">
    <cfRule type="expression" dxfId="68" priority="2">
      <formula>COLUMN(B12)&gt;=2</formula>
    </cfRule>
  </conditionalFormatting>
  <conditionalFormatting sqref="B12:I31">
    <cfRule type="expression" dxfId="67" priority="1">
      <formula>COLUMN(B12)&gt;2</formula>
    </cfRule>
  </conditionalFormatting>
  <dataValidations xWindow="209" yWindow="929" count="13">
    <dataValidation allowBlank="1" showInputMessage="1" showErrorMessage="1" prompt="El calendario de abril resalta automáticamente las entradas de la lista de tareas para el mes. Las fuentes más oscuras indican tareas. Las fuentes más claras indican días que pertenecen al mes anterior o siguiente." sqref="B2"/>
    <dataValidation allowBlank="1" showInputMessage="1" showErrorMessage="1" prompt="El año se actualiza automáticamente. Para cambiar el año, actualice la celda B1 en la hoja de cálculo de Ene." sqref="B1"/>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Escriba la hora en esta fila, de la columna B a la I." sqref="B12"/>
    <dataValidation allowBlank="1" showInputMessage="1" showErrorMessage="1" prompt="Escriba la clase en esta fila, de la columna B a la I." sqref="B13"/>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22</v>
      </c>
      <c r="C2" s="7" t="s">
        <v>30</v>
      </c>
      <c r="D2" s="7" t="s">
        <v>31</v>
      </c>
      <c r="E2" s="7" t="s">
        <v>32</v>
      </c>
      <c r="F2" s="7" t="s">
        <v>33</v>
      </c>
      <c r="G2" s="7" t="s">
        <v>34</v>
      </c>
      <c r="H2" s="7" t="s">
        <v>35</v>
      </c>
      <c r="I2" s="7" t="s">
        <v>36</v>
      </c>
      <c r="J2" s="10" t="s">
        <v>30</v>
      </c>
      <c r="K2" s="46"/>
      <c r="L2" s="53"/>
    </row>
    <row r="3" spans="1:12" ht="30" customHeight="1" x14ac:dyDescent="0.25">
      <c r="A3" s="13"/>
      <c r="C3" s="6">
        <f ca="1">IF(DAY(MayDom1)=1,MayDom1-6,MayDom1+1)</f>
        <v>42856</v>
      </c>
      <c r="D3" s="6">
        <f ca="1">IF(DAY(MayDom1)=1,MayDom1-5,MayDom1+2)</f>
        <v>42857</v>
      </c>
      <c r="E3" s="6">
        <f ca="1">IF(DAY(MayDom1)=1,MayDom1-4,MayDom1+3)</f>
        <v>42858</v>
      </c>
      <c r="F3" s="6">
        <f ca="1">IF(DAY(MayDom1)=1,MayDom1-3,MayDom1+4)</f>
        <v>42859</v>
      </c>
      <c r="G3" s="6">
        <f ca="1">IF(DAY(MayDom1)=1,MayDom1-2,MayDom1+5)</f>
        <v>42860</v>
      </c>
      <c r="H3" s="6">
        <f ca="1">IF(DAY(MayDom1)=1,MayDom1-1,MayDom1+6)</f>
        <v>42861</v>
      </c>
      <c r="I3" s="6">
        <f ca="1">IF(DAY(MayDom1)=1,MayDom1,MayDom1+7)</f>
        <v>42862</v>
      </c>
      <c r="J3" s="10"/>
      <c r="K3" s="40"/>
      <c r="L3" s="53"/>
    </row>
    <row r="4" spans="1:12" ht="30" customHeight="1" x14ac:dyDescent="0.25">
      <c r="A4" s="13"/>
      <c r="C4" s="6">
        <f ca="1">IF(DAY(MayDom1)=1,MayDom1+1,MayDom1+8)</f>
        <v>42863</v>
      </c>
      <c r="D4" s="6">
        <f ca="1">IF(DAY(MayDom1)=1,MayDom1+2,MayDom1+9)</f>
        <v>42864</v>
      </c>
      <c r="E4" s="6">
        <f ca="1">IF(DAY(MayDom1)=1,MayDom1+3,MayDom1+10)</f>
        <v>42865</v>
      </c>
      <c r="F4" s="6">
        <f ca="1">IF(DAY(MayDom1)=1,MayDom1+4,MayDom1+11)</f>
        <v>42866</v>
      </c>
      <c r="G4" s="6">
        <f ca="1">IF(DAY(MayDom1)=1,MayDom1+5,MayDom1+12)</f>
        <v>42867</v>
      </c>
      <c r="H4" s="6">
        <f ca="1">IF(DAY(MayDom1)=1,MayDom1+6,MayDom1+13)</f>
        <v>42868</v>
      </c>
      <c r="I4" s="6">
        <f ca="1">IF(DAY(MayDom1)=1,MayDom1+7,MayDom1+14)</f>
        <v>42869</v>
      </c>
      <c r="J4" s="10"/>
      <c r="K4" s="40"/>
      <c r="L4" s="53"/>
    </row>
    <row r="5" spans="1:12" ht="30" customHeight="1" x14ac:dyDescent="0.25">
      <c r="A5" s="13"/>
      <c r="C5" s="6">
        <f ca="1">IF(DAY(MayDom1)=1,MayDom1+8,MayDom1+15)</f>
        <v>42870</v>
      </c>
      <c r="D5" s="6">
        <f ca="1">IF(DAY(MayDom1)=1,MayDom1+9,MayDom1+16)</f>
        <v>42871</v>
      </c>
      <c r="E5" s="6">
        <f ca="1">IF(DAY(MayDom1)=1,MayDom1+10,MayDom1+17)</f>
        <v>42872</v>
      </c>
      <c r="F5" s="6">
        <f ca="1">IF(DAY(MayDom1)=1,MayDom1+11,MayDom1+18)</f>
        <v>42873</v>
      </c>
      <c r="G5" s="6">
        <f ca="1">IF(DAY(MayDom1)=1,MayDom1+12,MayDom1+19)</f>
        <v>42874</v>
      </c>
      <c r="H5" s="6">
        <f ca="1">IF(DAY(MayDom1)=1,MayDom1+13,MayDom1+20)</f>
        <v>42875</v>
      </c>
      <c r="I5" s="6">
        <f ca="1">IF(DAY(MayDom1)=1,MayDom1+14,MayDom1+21)</f>
        <v>42876</v>
      </c>
      <c r="J5" s="10"/>
      <c r="K5" s="40"/>
      <c r="L5" s="53"/>
    </row>
    <row r="6" spans="1:12" ht="30" customHeight="1" x14ac:dyDescent="0.25">
      <c r="A6" s="13"/>
      <c r="C6" s="6">
        <f ca="1">IF(DAY(MayDom1)=1,MayDom1+15,MayDom1+22)</f>
        <v>42877</v>
      </c>
      <c r="D6" s="6">
        <f ca="1">IF(DAY(MayDom1)=1,MayDom1+16,MayDom1+23)</f>
        <v>42878</v>
      </c>
      <c r="E6" s="6">
        <f ca="1">IF(DAY(MayDom1)=1,MayDom1+17,MayDom1+24)</f>
        <v>42879</v>
      </c>
      <c r="F6" s="6">
        <f ca="1">IF(DAY(MayDom1)=1,MayDom1+18,MayDom1+25)</f>
        <v>42880</v>
      </c>
      <c r="G6" s="6">
        <f ca="1">IF(DAY(MayDom1)=1,MayDom1+19,MayDom1+26)</f>
        <v>42881</v>
      </c>
      <c r="H6" s="6">
        <f ca="1">IF(DAY(MayDom1)=1,MayDom1+20,MayDom1+27)</f>
        <v>42882</v>
      </c>
      <c r="I6" s="6">
        <f ca="1">IF(DAY(MayDom1)=1,MayDom1+21,MayDom1+28)</f>
        <v>42883</v>
      </c>
      <c r="J6" s="10"/>
      <c r="K6" s="40"/>
      <c r="L6" s="53"/>
    </row>
    <row r="7" spans="1:12" ht="30" customHeight="1" x14ac:dyDescent="0.25">
      <c r="A7" s="13"/>
      <c r="C7" s="6">
        <f ca="1">IF(DAY(MayDom1)=1,MayDom1+22,MayDom1+29)</f>
        <v>42884</v>
      </c>
      <c r="D7" s="6">
        <f ca="1">IF(DAY(MayDom1)=1,MayDom1+23,MayDom1+30)</f>
        <v>42885</v>
      </c>
      <c r="E7" s="6">
        <f ca="1">IF(DAY(MayDom1)=1,MayDom1+24,MayDom1+31)</f>
        <v>42886</v>
      </c>
      <c r="F7" s="6">
        <f ca="1">IF(DAY(MayDom1)=1,MayDom1+25,MayDom1+32)</f>
        <v>42887</v>
      </c>
      <c r="G7" s="6">
        <f ca="1">IF(DAY(MayDom1)=1,MayDom1+26,MayDom1+33)</f>
        <v>42888</v>
      </c>
      <c r="H7" s="6">
        <f ca="1">IF(DAY(MayDom1)=1,MayDom1+27,MayDom1+34)</f>
        <v>42889</v>
      </c>
      <c r="I7" s="6">
        <f ca="1">IF(DAY(MayDom1)=1,MayDom1+28,MayDom1+35)</f>
        <v>42890</v>
      </c>
      <c r="J7" s="20"/>
      <c r="K7" s="39"/>
      <c r="L7" s="18"/>
    </row>
    <row r="8" spans="1:12" ht="30" customHeight="1" x14ac:dyDescent="0.25">
      <c r="A8" s="13"/>
      <c r="B8" s="18"/>
      <c r="C8" s="6">
        <f ca="1">IF(DAY(MayDom1)=1,MayDom1+29,MayDom1+36)</f>
        <v>42891</v>
      </c>
      <c r="D8" s="6">
        <f ca="1">IF(DAY(MayDom1)=1,MayDom1+30,MayDom1+37)</f>
        <v>42892</v>
      </c>
      <c r="E8" s="6">
        <f ca="1">IF(DAY(MayDom1)=1,MayDom1+31,MayDom1+38)</f>
        <v>42893</v>
      </c>
      <c r="F8" s="6">
        <f ca="1">IF(DAY(MayDom1)=1,MayDom1+32,MayDom1+39)</f>
        <v>42894</v>
      </c>
      <c r="G8" s="6">
        <f ca="1">IF(DAY(MayDom1)=1,MayDom1+33,MayDom1+40)</f>
        <v>42895</v>
      </c>
      <c r="H8" s="6">
        <f ca="1">IF(DAY(MayDom1)=1,MayDom1+34,MayDom1+41)</f>
        <v>42896</v>
      </c>
      <c r="I8" s="6">
        <f ca="1">IF(DAY(MayDom1)=1,MayDom1+35,MayDom1+42)</f>
        <v>42897</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33">
        <v>0.33333333333333331</v>
      </c>
      <c r="C12" s="61"/>
      <c r="D12" s="61"/>
      <c r="E12" s="61">
        <v>0.33333333333333331</v>
      </c>
      <c r="F12" s="61"/>
      <c r="G12" s="61"/>
      <c r="H12" s="61"/>
      <c r="I12" s="37">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36"/>
      <c r="C14" s="61">
        <v>0.375</v>
      </c>
      <c r="D14" s="61"/>
      <c r="E14" s="61"/>
      <c r="F14" s="61"/>
      <c r="G14" s="61">
        <v>0.375</v>
      </c>
      <c r="H14" s="61"/>
      <c r="I14" s="37"/>
      <c r="J14" s="32"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36" t="s">
        <v>6</v>
      </c>
      <c r="C16" s="61"/>
      <c r="D16" s="61"/>
      <c r="E16" s="61" t="s">
        <v>6</v>
      </c>
      <c r="F16" s="61"/>
      <c r="G16" s="61"/>
      <c r="H16" s="61"/>
      <c r="I16" s="38"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36"/>
      <c r="C18" s="61"/>
      <c r="D18" s="61"/>
      <c r="E18" s="61"/>
      <c r="F18" s="61"/>
      <c r="G18" s="61"/>
      <c r="H18" s="61"/>
      <c r="I18" s="37"/>
      <c r="J18" s="10"/>
      <c r="K18" s="40"/>
      <c r="L18" s="53"/>
    </row>
    <row r="19" spans="1:12" ht="30" customHeight="1" x14ac:dyDescent="0.25">
      <c r="A19" s="26" t="s">
        <v>2</v>
      </c>
      <c r="B19" s="27"/>
      <c r="C19" s="60"/>
      <c r="D19" s="60"/>
      <c r="E19" s="60"/>
      <c r="F19" s="60"/>
      <c r="G19" s="60"/>
      <c r="H19" s="60"/>
      <c r="I19" s="51"/>
      <c r="J19" s="20"/>
      <c r="K19" s="39"/>
      <c r="L19" s="18"/>
    </row>
    <row r="20" spans="1:12" ht="30" customHeight="1" x14ac:dyDescent="0.25">
      <c r="A20" s="26" t="s">
        <v>1</v>
      </c>
      <c r="B20" s="36"/>
      <c r="C20" s="61"/>
      <c r="D20" s="61"/>
      <c r="E20" s="61"/>
      <c r="F20" s="61"/>
      <c r="G20" s="61"/>
      <c r="H20" s="61"/>
      <c r="I20" s="37"/>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36"/>
      <c r="C22" s="61"/>
      <c r="D22" s="61"/>
      <c r="E22" s="61"/>
      <c r="F22" s="61"/>
      <c r="G22" s="61"/>
      <c r="H22" s="61"/>
      <c r="I22" s="37"/>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36" t="s">
        <v>8</v>
      </c>
      <c r="C24" s="61"/>
      <c r="D24" s="61"/>
      <c r="E24" s="61" t="s">
        <v>8</v>
      </c>
      <c r="F24" s="61"/>
      <c r="G24" s="61"/>
      <c r="H24" s="61"/>
      <c r="I24" s="37" t="s">
        <v>8</v>
      </c>
      <c r="J24" s="10"/>
      <c r="K24" s="40"/>
      <c r="L24" s="53"/>
    </row>
    <row r="25" spans="1:12" ht="30" customHeight="1" x14ac:dyDescent="0.25">
      <c r="A25" s="26" t="s">
        <v>2</v>
      </c>
      <c r="B25" s="27" t="s">
        <v>9</v>
      </c>
      <c r="C25" s="60"/>
      <c r="D25" s="60"/>
      <c r="E25" s="60" t="s">
        <v>9</v>
      </c>
      <c r="F25" s="60"/>
      <c r="G25" s="60"/>
      <c r="H25" s="60"/>
      <c r="I25" s="30" t="s">
        <v>9</v>
      </c>
      <c r="J25" s="20"/>
      <c r="K25" s="39"/>
      <c r="L25" s="18"/>
    </row>
    <row r="26" spans="1:12" ht="30" customHeight="1" x14ac:dyDescent="0.25">
      <c r="A26" s="26" t="s">
        <v>1</v>
      </c>
      <c r="B26" s="36"/>
      <c r="C26" s="61"/>
      <c r="D26" s="61"/>
      <c r="E26" s="61"/>
      <c r="F26" s="61"/>
      <c r="G26" s="61"/>
      <c r="H26" s="61"/>
      <c r="I26" s="37"/>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36"/>
      <c r="C28" s="61" t="s">
        <v>12</v>
      </c>
      <c r="D28" s="61"/>
      <c r="E28" s="61"/>
      <c r="F28" s="61"/>
      <c r="G28" s="61" t="s">
        <v>12</v>
      </c>
      <c r="H28" s="61"/>
      <c r="I28" s="37"/>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36"/>
      <c r="C30" s="61"/>
      <c r="D30" s="61"/>
      <c r="E30" s="61"/>
      <c r="F30" s="61"/>
      <c r="G30" s="61"/>
      <c r="H30" s="61"/>
      <c r="I30" s="37"/>
      <c r="J30" s="10"/>
      <c r="K30" s="40"/>
      <c r="L30" s="53"/>
    </row>
    <row r="31" spans="1:12" ht="30" customHeight="1" x14ac:dyDescent="0.25">
      <c r="A31" s="26" t="s">
        <v>2</v>
      </c>
      <c r="B31" s="28"/>
      <c r="C31" s="62"/>
      <c r="D31" s="62"/>
      <c r="E31" s="62"/>
      <c r="F31" s="62"/>
      <c r="G31" s="62"/>
      <c r="H31" s="62"/>
      <c r="I31" s="29"/>
      <c r="J31" s="49"/>
      <c r="K31" s="46"/>
      <c r="L31" s="53"/>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65" priority="8" stopIfTrue="1">
      <formula>DAY(C3)&gt;8</formula>
    </cfRule>
  </conditionalFormatting>
  <conditionalFormatting sqref="C7:I8">
    <cfRule type="expression" dxfId="64" priority="7" stopIfTrue="1">
      <formula>AND(DAY(C7)&gt;=1,DAY(C7)&lt;=15)</formula>
    </cfRule>
  </conditionalFormatting>
  <conditionalFormatting sqref="C3:I8">
    <cfRule type="expression" dxfId="63" priority="9">
      <formula>VLOOKUP(DAY(C3),AssignmentDays,1,FALSE)=DAY(C3)</formula>
    </cfRule>
  </conditionalFormatting>
  <conditionalFormatting sqref="B13:I13 B15:I15 B17:I17 B19:I19 B21:I21 B23:I23 B25:I25 B27:I27 B29:I29 B31:I31">
    <cfRule type="expression" dxfId="62" priority="6">
      <formula>B13&lt;&gt;""</formula>
    </cfRule>
  </conditionalFormatting>
  <conditionalFormatting sqref="B12:I12 B14:I14 B16:I16 B18:I18 B20:I20 B22:I22 B24:I24 B26:I26 B28:I28 B30:I30">
    <cfRule type="expression" dxfId="61" priority="5">
      <formula>B12&lt;&gt;""</formula>
    </cfRule>
  </conditionalFormatting>
  <conditionalFormatting sqref="B13:I13 B15:I15 B17:I17 B19:I19 B21:I21 B23:I23 B25:I25 B27:I27 B29:I29">
    <cfRule type="expression" dxfId="60" priority="4">
      <formula>COLUMN(B12)&gt;=2</formula>
    </cfRule>
  </conditionalFormatting>
  <conditionalFormatting sqref="B12:I31">
    <cfRule type="expression" dxfId="59" priority="3">
      <formula>COLUMN(B11)&gt;2</formula>
    </cfRule>
  </conditionalFormatting>
  <dataValidations count="13">
    <dataValidation allowBlank="1" showInputMessage="1" showErrorMessage="1" prompt="Escriba la clase en esta fila, de la columna B a la I." sqref="B13"/>
    <dataValidation allowBlank="1" showInputMessage="1" showErrorMessage="1" prompt="Escriba la hora en esta fila, de la columna B a la I." sqref="B12"/>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Si esta celda no contiene el número 1, se trata de un día del mes anterior. Las celdas C3 a I8 contienen fechas para el mes actual." sqref="C3"/>
    <dataValidation allowBlank="1" showInputMessage="1" showErrorMessage="1" prompt="Las celdas C2 a I2 contienen días de la semana." sqref="C2"/>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El año se actualiza automáticamente. Para cambiar el año, actualice la celda B1 en la hoja de cálculo de Ene." sqref="B1"/>
    <dataValidation allowBlank="1" showInputMessage="1" showErrorMessage="1" prompt="El calendario de mayo resalta automáticamente las entradas de la lista de tareas para el mes. Las fuentes más oscuras indican tareas. Las fuentes más claras indican días que pertenecen al mes anterior o siguiente." sqref="B2"/>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23</v>
      </c>
      <c r="C2" s="7" t="s">
        <v>30</v>
      </c>
      <c r="D2" s="7" t="s">
        <v>31</v>
      </c>
      <c r="E2" s="7" t="s">
        <v>32</v>
      </c>
      <c r="F2" s="7" t="s">
        <v>33</v>
      </c>
      <c r="G2" s="7" t="s">
        <v>34</v>
      </c>
      <c r="H2" s="7" t="s">
        <v>35</v>
      </c>
      <c r="I2" s="7" t="s">
        <v>36</v>
      </c>
      <c r="J2" s="10" t="s">
        <v>30</v>
      </c>
      <c r="K2" s="46"/>
      <c r="L2" s="53"/>
    </row>
    <row r="3" spans="1:12" ht="30" customHeight="1" x14ac:dyDescent="0.25">
      <c r="A3" s="13"/>
      <c r="C3" s="6">
        <f ca="1">IF(DAY(JunDom1)=1,JunDom1-6,JunDom1+1)</f>
        <v>42884</v>
      </c>
      <c r="D3" s="6">
        <f ca="1">IF(DAY(JunDom1)=1,JunDom1-5,JunDom1+2)</f>
        <v>42885</v>
      </c>
      <c r="E3" s="6">
        <f ca="1">IF(DAY(JunDom1)=1,JunDom1-4,JunDom1+3)</f>
        <v>42886</v>
      </c>
      <c r="F3" s="6">
        <f ca="1">IF(DAY(JunDom1)=1,JunDom1-3,JunDom1+4)</f>
        <v>42887</v>
      </c>
      <c r="G3" s="6">
        <f ca="1">IF(DAY(JunDom1)=1,JunDom1-2,JunDom1+5)</f>
        <v>42888</v>
      </c>
      <c r="H3" s="6">
        <f ca="1">IF(DAY(JunDom1)=1,JunDom1-1,JunDom1+6)</f>
        <v>42889</v>
      </c>
      <c r="I3" s="6">
        <f ca="1">IF(DAY(JunDom1)=1,JunDom1,JunDom1+7)</f>
        <v>42890</v>
      </c>
      <c r="J3" s="10"/>
      <c r="K3" s="40"/>
      <c r="L3" s="53"/>
    </row>
    <row r="4" spans="1:12" ht="30" customHeight="1" x14ac:dyDescent="0.25">
      <c r="A4" s="13"/>
      <c r="C4" s="6">
        <f ca="1">IF(DAY(JunDom1)=1,JunDom1+1,JunDom1+8)</f>
        <v>42891</v>
      </c>
      <c r="D4" s="6">
        <f ca="1">IF(DAY(JunDom1)=1,JunDom1+2,JunDom1+9)</f>
        <v>42892</v>
      </c>
      <c r="E4" s="6">
        <f ca="1">IF(DAY(JunDom1)=1,JunDom1+3,JunDom1+10)</f>
        <v>42893</v>
      </c>
      <c r="F4" s="6">
        <f ca="1">IF(DAY(JunDom1)=1,JunDom1+4,JunDom1+11)</f>
        <v>42894</v>
      </c>
      <c r="G4" s="6">
        <f ca="1">IF(DAY(JunDom1)=1,JunDom1+5,JunDom1+12)</f>
        <v>42895</v>
      </c>
      <c r="H4" s="6">
        <f ca="1">IF(DAY(JunDom1)=1,JunDom1+6,JunDom1+13)</f>
        <v>42896</v>
      </c>
      <c r="I4" s="6">
        <f ca="1">IF(DAY(JunDom1)=1,JunDom1+7,JunDom1+14)</f>
        <v>42897</v>
      </c>
      <c r="J4" s="10"/>
      <c r="K4" s="40"/>
      <c r="L4" s="53"/>
    </row>
    <row r="5" spans="1:12" ht="30" customHeight="1" x14ac:dyDescent="0.25">
      <c r="A5" s="13"/>
      <c r="C5" s="6">
        <f ca="1">IF(DAY(JunDom1)=1,JunDom1+8,JunDom1+15)</f>
        <v>42898</v>
      </c>
      <c r="D5" s="6">
        <f ca="1">IF(DAY(JunDom1)=1,JunDom1+9,JunDom1+16)</f>
        <v>42899</v>
      </c>
      <c r="E5" s="6">
        <f ca="1">IF(DAY(JunDom1)=1,JunDom1+10,JunDom1+17)</f>
        <v>42900</v>
      </c>
      <c r="F5" s="6">
        <f ca="1">IF(DAY(JunDom1)=1,JunDom1+11,JunDom1+18)</f>
        <v>42901</v>
      </c>
      <c r="G5" s="6">
        <f ca="1">IF(DAY(JunDom1)=1,JunDom1+12,JunDom1+19)</f>
        <v>42902</v>
      </c>
      <c r="H5" s="6">
        <f ca="1">IF(DAY(JunDom1)=1,JunDom1+13,JunDom1+20)</f>
        <v>42903</v>
      </c>
      <c r="I5" s="6">
        <f ca="1">IF(DAY(JunDom1)=1,JunDom1+14,JunDom1+21)</f>
        <v>42904</v>
      </c>
      <c r="J5" s="10"/>
      <c r="K5" s="40"/>
      <c r="L5" s="53"/>
    </row>
    <row r="6" spans="1:12" ht="30" customHeight="1" x14ac:dyDescent="0.25">
      <c r="A6" s="13"/>
      <c r="C6" s="6">
        <f ca="1">IF(DAY(JunDom1)=1,JunDom1+15,JunDom1+22)</f>
        <v>42905</v>
      </c>
      <c r="D6" s="6">
        <f ca="1">IF(DAY(JunDom1)=1,JunDom1+16,JunDom1+23)</f>
        <v>42906</v>
      </c>
      <c r="E6" s="6">
        <f ca="1">IF(DAY(JunDom1)=1,JunDom1+17,JunDom1+24)</f>
        <v>42907</v>
      </c>
      <c r="F6" s="6">
        <f ca="1">IF(DAY(JunDom1)=1,JunDom1+18,JunDom1+25)</f>
        <v>42908</v>
      </c>
      <c r="G6" s="6">
        <f ca="1">IF(DAY(JunDom1)=1,JunDom1+19,JunDom1+26)</f>
        <v>42909</v>
      </c>
      <c r="H6" s="6">
        <f ca="1">IF(DAY(JunDom1)=1,JunDom1+20,JunDom1+27)</f>
        <v>42910</v>
      </c>
      <c r="I6" s="6">
        <f ca="1">IF(DAY(JunDom1)=1,JunDom1+21,JunDom1+28)</f>
        <v>42911</v>
      </c>
      <c r="J6" s="10"/>
      <c r="K6" s="40"/>
      <c r="L6" s="53"/>
    </row>
    <row r="7" spans="1:12" ht="30" customHeight="1" x14ac:dyDescent="0.25">
      <c r="A7" s="13"/>
      <c r="C7" s="6">
        <f ca="1">IF(DAY(JunDom1)=1,JunDom1+22,JunDom1+29)</f>
        <v>42912</v>
      </c>
      <c r="D7" s="6">
        <f ca="1">IF(DAY(JunDom1)=1,JunDom1+23,JunDom1+30)</f>
        <v>42913</v>
      </c>
      <c r="E7" s="6">
        <f ca="1">IF(DAY(JunDom1)=1,JunDom1+24,JunDom1+31)</f>
        <v>42914</v>
      </c>
      <c r="F7" s="6">
        <f ca="1">IF(DAY(JunDom1)=1,JunDom1+25,JunDom1+32)</f>
        <v>42915</v>
      </c>
      <c r="G7" s="6">
        <f ca="1">IF(DAY(JunDom1)=1,JunDom1+26,JunDom1+33)</f>
        <v>42916</v>
      </c>
      <c r="H7" s="6">
        <f ca="1">IF(DAY(JunDom1)=1,JunDom1+27,JunDom1+34)</f>
        <v>42917</v>
      </c>
      <c r="I7" s="6">
        <f ca="1">IF(DAY(JunDom1)=1,JunDom1+28,JunDom1+35)</f>
        <v>42918</v>
      </c>
      <c r="J7" s="42"/>
      <c r="K7" s="39"/>
      <c r="L7" s="56"/>
    </row>
    <row r="8" spans="1:12" ht="30" customHeight="1" x14ac:dyDescent="0.25">
      <c r="A8" s="13"/>
      <c r="B8" s="18"/>
      <c r="C8" s="6">
        <f ca="1">IF(DAY(JunDom1)=1,JunDom1+29,JunDom1+36)</f>
        <v>42919</v>
      </c>
      <c r="D8" s="6">
        <f ca="1">IF(DAY(JunDom1)=1,JunDom1+30,JunDom1+37)</f>
        <v>42920</v>
      </c>
      <c r="E8" s="6">
        <f ca="1">IF(DAY(JunDom1)=1,JunDom1+31,JunDom1+38)</f>
        <v>42921</v>
      </c>
      <c r="F8" s="6">
        <f ca="1">IF(DAY(JunDom1)=1,JunDom1+32,JunDom1+39)</f>
        <v>42922</v>
      </c>
      <c r="G8" s="6">
        <f ca="1">IF(DAY(JunDom1)=1,JunDom1+33,JunDom1+40)</f>
        <v>42923</v>
      </c>
      <c r="H8" s="6">
        <f ca="1">IF(DAY(JunDom1)=1,JunDom1+34,JunDom1+41)</f>
        <v>42924</v>
      </c>
      <c r="I8" s="6">
        <f ca="1">IF(DAY(JunDom1)=1,JunDom1+35,JunDom1+42)</f>
        <v>42925</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5" t="s">
        <v>12</v>
      </c>
      <c r="D28" s="65"/>
      <c r="E28" s="65"/>
      <c r="F28" s="65"/>
      <c r="G28" s="65" t="s">
        <v>12</v>
      </c>
      <c r="H28" s="65"/>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5"/>
      <c r="D30" s="65"/>
      <c r="E30" s="65"/>
      <c r="F30" s="65"/>
      <c r="G30" s="65"/>
      <c r="H30" s="65"/>
      <c r="I30" s="22"/>
      <c r="J30" s="10"/>
      <c r="K30" s="40"/>
      <c r="L30" s="53"/>
    </row>
    <row r="31" spans="1:12" ht="30" customHeight="1" x14ac:dyDescent="0.25">
      <c r="A31" s="26" t="s">
        <v>2</v>
      </c>
      <c r="B31" s="28"/>
      <c r="C31" s="62"/>
      <c r="D31" s="62"/>
      <c r="E31" s="62"/>
      <c r="F31" s="62"/>
      <c r="G31" s="62"/>
      <c r="H31" s="62"/>
      <c r="I31" s="29"/>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VLOOKUP(DAY(C3),AssignmentDays,1,FALSE)=DAY(C3)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COLUMN(B13)&gt;=2</formula>
    </cfRule>
  </conditionalFormatting>
  <conditionalFormatting sqref="B12:I31">
    <cfRule type="expression" dxfId="51" priority="1">
      <formula>COLUMN(B12)&gt;2</formula>
    </cfRule>
  </conditionalFormatting>
  <dataValidations xWindow="282" yWindow="780" count="13">
    <dataValidation allowBlank="1" showInputMessage="1" showErrorMessage="1" prompt="El calendario de junio resalta automáticamente las entradas de la lista de tareas para el mes. Las fuentes más oscuras indican tareas. Las fuentes más claras indican días que pertenecen al mes anterior o siguiente." sqref="B2"/>
    <dataValidation allowBlank="1" showInputMessage="1" showErrorMessage="1" prompt="El año se actualiza automáticamente. Para cambiar el año, actualice la celda B1 en la hoja de cálculo de Ene." sqref="B1"/>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Escriba la hora en esta fila, de la columna B a la I." sqref="B12"/>
    <dataValidation allowBlank="1" showInputMessage="1" showErrorMessage="1" prompt="Escriba la clase en esta fila, de la columna B a la I." sqref="B13"/>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24</v>
      </c>
      <c r="C2" s="7" t="s">
        <v>30</v>
      </c>
      <c r="D2" s="7" t="s">
        <v>31</v>
      </c>
      <c r="E2" s="7" t="s">
        <v>32</v>
      </c>
      <c r="F2" s="7" t="s">
        <v>33</v>
      </c>
      <c r="G2" s="7" t="s">
        <v>34</v>
      </c>
      <c r="H2" s="7" t="s">
        <v>35</v>
      </c>
      <c r="I2" s="7" t="s">
        <v>36</v>
      </c>
      <c r="J2" s="10" t="s">
        <v>30</v>
      </c>
      <c r="K2" s="46"/>
      <c r="L2" s="53"/>
    </row>
    <row r="3" spans="1:12" ht="30" customHeight="1" x14ac:dyDescent="0.25">
      <c r="A3" s="13"/>
      <c r="C3" s="6">
        <f ca="1">IF(DAY(JulDom1)=1,JulDom1-6,JulDom1+1)</f>
        <v>42912</v>
      </c>
      <c r="D3" s="6">
        <f ca="1">IF(DAY(JulDom1)=1,JulDom1-5,JulDom1+2)</f>
        <v>42913</v>
      </c>
      <c r="E3" s="6">
        <f ca="1">IF(DAY(JulDom1)=1,JulDom1-4,JulDom1+3)</f>
        <v>42914</v>
      </c>
      <c r="F3" s="6">
        <f ca="1">IF(DAY(JulDom1)=1,JulDom1-3,JulDom1+4)</f>
        <v>42915</v>
      </c>
      <c r="G3" s="6">
        <f ca="1">IF(DAY(JulDom1)=1,JulDom1-2,JulDom1+5)</f>
        <v>42916</v>
      </c>
      <c r="H3" s="6">
        <f ca="1">IF(DAY(JulDom1)=1,JulDom1-1,JulDom1+6)</f>
        <v>42917</v>
      </c>
      <c r="I3" s="6">
        <f ca="1">IF(DAY(JulDom1)=1,JulDom1,JulDom1+7)</f>
        <v>42918</v>
      </c>
      <c r="J3" s="10"/>
      <c r="K3" s="40"/>
      <c r="L3" s="53"/>
    </row>
    <row r="4" spans="1:12" ht="30" customHeight="1" x14ac:dyDescent="0.25">
      <c r="A4" s="13"/>
      <c r="C4" s="6">
        <f ca="1">IF(DAY(JulDom1)=1,JulDom1+1,JulDom1+8)</f>
        <v>42919</v>
      </c>
      <c r="D4" s="6">
        <f ca="1">IF(DAY(JulDom1)=1,JulDom1+2,JulDom1+9)</f>
        <v>42920</v>
      </c>
      <c r="E4" s="6">
        <f ca="1">IF(DAY(JulDom1)=1,JulDom1+3,JulDom1+10)</f>
        <v>42921</v>
      </c>
      <c r="F4" s="6">
        <f ca="1">IF(DAY(JulDom1)=1,JulDom1+4,JulDom1+11)</f>
        <v>42922</v>
      </c>
      <c r="G4" s="6">
        <f ca="1">IF(DAY(JulDom1)=1,JulDom1+5,JulDom1+12)</f>
        <v>42923</v>
      </c>
      <c r="H4" s="6">
        <f ca="1">IF(DAY(JulDom1)=1,JulDom1+6,JulDom1+13)</f>
        <v>42924</v>
      </c>
      <c r="I4" s="6">
        <f ca="1">IF(DAY(JulDom1)=1,JulDom1+7,JulDom1+14)</f>
        <v>42925</v>
      </c>
      <c r="J4" s="10"/>
      <c r="K4" s="40"/>
      <c r="L4" s="53"/>
    </row>
    <row r="5" spans="1:12" ht="30" customHeight="1" x14ac:dyDescent="0.25">
      <c r="A5" s="13"/>
      <c r="C5" s="6">
        <f ca="1">IF(DAY(JulDom1)=1,JulDom1+8,JulDom1+15)</f>
        <v>42926</v>
      </c>
      <c r="D5" s="6">
        <f ca="1">IF(DAY(JulDom1)=1,JulDom1+9,JulDom1+16)</f>
        <v>42927</v>
      </c>
      <c r="E5" s="6">
        <f ca="1">IF(DAY(JulDom1)=1,JulDom1+10,JulDom1+17)</f>
        <v>42928</v>
      </c>
      <c r="F5" s="6">
        <f ca="1">IF(DAY(JulDom1)=1,JulDom1+11,JulDom1+18)</f>
        <v>42929</v>
      </c>
      <c r="G5" s="6">
        <f ca="1">IF(DAY(JulDom1)=1,JulDom1+12,JulDom1+19)</f>
        <v>42930</v>
      </c>
      <c r="H5" s="6">
        <f ca="1">IF(DAY(JulDom1)=1,JulDom1+13,JulDom1+20)</f>
        <v>42931</v>
      </c>
      <c r="I5" s="6">
        <f ca="1">IF(DAY(JulDom1)=1,JulDom1+14,JulDom1+21)</f>
        <v>42932</v>
      </c>
      <c r="J5" s="10"/>
      <c r="K5" s="40"/>
      <c r="L5" s="53"/>
    </row>
    <row r="6" spans="1:12" ht="30" customHeight="1" x14ac:dyDescent="0.25">
      <c r="A6" s="13"/>
      <c r="C6" s="6">
        <f ca="1">IF(DAY(JulDom1)=1,JulDom1+15,JulDom1+22)</f>
        <v>42933</v>
      </c>
      <c r="D6" s="6">
        <f ca="1">IF(DAY(JulDom1)=1,JulDom1+16,JulDom1+23)</f>
        <v>42934</v>
      </c>
      <c r="E6" s="6">
        <f ca="1">IF(DAY(JulDom1)=1,JulDom1+17,JulDom1+24)</f>
        <v>42935</v>
      </c>
      <c r="F6" s="6">
        <f ca="1">IF(DAY(JulDom1)=1,JulDom1+18,JulDom1+25)</f>
        <v>42936</v>
      </c>
      <c r="G6" s="6">
        <f ca="1">IF(DAY(JulDom1)=1,JulDom1+19,JulDom1+26)</f>
        <v>42937</v>
      </c>
      <c r="H6" s="6">
        <f ca="1">IF(DAY(JulDom1)=1,JulDom1+20,JulDom1+27)</f>
        <v>42938</v>
      </c>
      <c r="I6" s="6">
        <f ca="1">IF(DAY(JulDom1)=1,JulDom1+21,JulDom1+28)</f>
        <v>42939</v>
      </c>
      <c r="J6" s="10"/>
      <c r="K6" s="40"/>
      <c r="L6" s="53"/>
    </row>
    <row r="7" spans="1:12" ht="30" customHeight="1" x14ac:dyDescent="0.25">
      <c r="A7" s="13"/>
      <c r="C7" s="6">
        <f ca="1">IF(DAY(JulDom1)=1,JulDom1+22,JulDom1+29)</f>
        <v>42940</v>
      </c>
      <c r="D7" s="6">
        <f ca="1">IF(DAY(JulDom1)=1,JulDom1+23,JulDom1+30)</f>
        <v>42941</v>
      </c>
      <c r="E7" s="6">
        <f ca="1">IF(DAY(JulDom1)=1,JulDom1+24,JulDom1+31)</f>
        <v>42942</v>
      </c>
      <c r="F7" s="6">
        <f ca="1">IF(DAY(JulDom1)=1,JulDom1+25,JulDom1+32)</f>
        <v>42943</v>
      </c>
      <c r="G7" s="6">
        <f ca="1">IF(DAY(JulDom1)=1,JulDom1+26,JulDom1+33)</f>
        <v>42944</v>
      </c>
      <c r="H7" s="6">
        <f ca="1">IF(DAY(JulDom1)=1,JulDom1+27,JulDom1+34)</f>
        <v>42945</v>
      </c>
      <c r="I7" s="6">
        <f ca="1">IF(DAY(JulDom1)=1,JulDom1+28,JulDom1+35)</f>
        <v>42946</v>
      </c>
      <c r="J7" s="20"/>
      <c r="K7" s="39"/>
      <c r="L7" s="18"/>
    </row>
    <row r="8" spans="1:12" ht="30" customHeight="1" x14ac:dyDescent="0.25">
      <c r="A8" s="13"/>
      <c r="B8" s="18"/>
      <c r="C8" s="6">
        <f ca="1">IF(DAY(JulDom1)=1,JulDom1+29,JulDom1+36)</f>
        <v>42947</v>
      </c>
      <c r="D8" s="6">
        <f ca="1">IF(DAY(JulDom1)=1,JulDom1+30,JulDom1+37)</f>
        <v>42948</v>
      </c>
      <c r="E8" s="6">
        <f ca="1">IF(DAY(JulDom1)=1,JulDom1+31,JulDom1+38)</f>
        <v>42949</v>
      </c>
      <c r="F8" s="6">
        <f ca="1">IF(DAY(JulDom1)=1,JulDom1+32,JulDom1+39)</f>
        <v>42950</v>
      </c>
      <c r="G8" s="6">
        <f ca="1">IF(DAY(JulDom1)=1,JulDom1+33,JulDom1+40)</f>
        <v>42951</v>
      </c>
      <c r="H8" s="6">
        <f ca="1">IF(DAY(JulDom1)=1,JulDom1+34,JulDom1+41)</f>
        <v>42952</v>
      </c>
      <c r="I8" s="6">
        <f ca="1">IF(DAY(JulDom1)=1,JulDom1+35,JulDom1+42)</f>
        <v>42953</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5" t="s">
        <v>12</v>
      </c>
      <c r="D28" s="65"/>
      <c r="E28" s="65"/>
      <c r="F28" s="65"/>
      <c r="G28" s="65" t="s">
        <v>12</v>
      </c>
      <c r="H28" s="65"/>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5"/>
      <c r="D30" s="65"/>
      <c r="E30" s="65"/>
      <c r="F30" s="65"/>
      <c r="G30" s="65"/>
      <c r="H30" s="65"/>
      <c r="I30" s="22"/>
      <c r="J30" s="10"/>
      <c r="K30" s="40"/>
      <c r="L30" s="53"/>
    </row>
    <row r="31" spans="1:12" ht="30" customHeight="1" x14ac:dyDescent="0.25">
      <c r="A31" s="26" t="s">
        <v>2</v>
      </c>
      <c r="B31" s="28"/>
      <c r="C31" s="62"/>
      <c r="D31" s="62"/>
      <c r="E31" s="62"/>
      <c r="F31" s="62"/>
      <c r="G31" s="62"/>
      <c r="H31" s="62"/>
      <c r="I31" s="29"/>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9" priority="6" stopIfTrue="1">
      <formula>DAY(C3)&gt;8</formula>
    </cfRule>
  </conditionalFormatting>
  <conditionalFormatting sqref="C7:I8">
    <cfRule type="expression" dxfId="48" priority="5" stopIfTrue="1">
      <formula>AND(DAY(C7)&gt;=1,DAY(C7)&lt;=15)</formula>
    </cfRule>
  </conditionalFormatting>
  <conditionalFormatting sqref="C3:I8">
    <cfRule type="expression" dxfId="47" priority="7">
      <formula>VLOOKUP(DAY(C3),AssignmentDays,1,FALSE)=DAY(C3)</formula>
    </cfRule>
  </conditionalFormatting>
  <conditionalFormatting sqref="B12:I12 B14:I14 B16:I16 B18:I18 B20:I20 B22:I22 B24:I24 B26:I26 B28:I28 B30:I30">
    <cfRule type="expression" dxfId="46" priority="4">
      <formula>B12&lt;&gt;""</formula>
    </cfRule>
  </conditionalFormatting>
  <conditionalFormatting sqref="B13:I13 B15:I15 B17:I17 B19:I19 B21:I21 B23:I23 B25:I25 B27:I27 B29:I29 B31:I31">
    <cfRule type="expression" dxfId="45" priority="3">
      <formula>B13&lt;&gt;""</formula>
    </cfRule>
  </conditionalFormatting>
  <conditionalFormatting sqref="B13:I13 B15:I15 B17:I17 B19:I19 B21:I21 B23:I23 B25:I25 B27:I27 B29:I29">
    <cfRule type="expression" dxfId="44" priority="2">
      <formula>COLUMN(B13)&gt;=2</formula>
    </cfRule>
  </conditionalFormatting>
  <conditionalFormatting sqref="B12:I31">
    <cfRule type="expression" dxfId="43" priority="1">
      <formula>COLUMN(B12)&gt;2</formula>
    </cfRule>
  </conditionalFormatting>
  <dataValidations xWindow="239" yWindow="583" count="13">
    <dataValidation allowBlank="1" showInputMessage="1" showErrorMessage="1" prompt="Escriba la clase en esta fila, de la columna B a la I." sqref="B13"/>
    <dataValidation allowBlank="1" showInputMessage="1" showErrorMessage="1" prompt="Escriba la hora en esta fila, de la columna B a la I." sqref="B12"/>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Si esta celda no contiene el número 1, se trata de un día del mes anterior. Las celdas C3 a I8 contienen fechas para el mes actual." sqref="C3"/>
    <dataValidation allowBlank="1" showInputMessage="1" showErrorMessage="1" prompt="Las celdas C2 a I2 contienen días de la semana." sqref="C2"/>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El año se actualiza automáticamente. Para cambiar el año, actualice la celda B1 en la hoja de cálculo de Ene." sqref="B1"/>
    <dataValidation allowBlank="1" showInputMessage="1" showErrorMessage="1" prompt="El calendario de julio resalta automáticamente las entradas de la lista de tareas para el mes. Las fuentes más oscuras indican tareas. Las fuentes más claras indican días que pertenecen al mes anterior o siguiente." sqref="B2"/>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25</v>
      </c>
      <c r="C2" s="7" t="s">
        <v>30</v>
      </c>
      <c r="D2" s="7" t="s">
        <v>31</v>
      </c>
      <c r="E2" s="7" t="s">
        <v>32</v>
      </c>
      <c r="F2" s="7" t="s">
        <v>33</v>
      </c>
      <c r="G2" s="7" t="s">
        <v>34</v>
      </c>
      <c r="H2" s="7" t="s">
        <v>35</v>
      </c>
      <c r="I2" s="7" t="s">
        <v>36</v>
      </c>
      <c r="J2" s="10" t="s">
        <v>30</v>
      </c>
      <c r="K2" s="46"/>
      <c r="L2" s="53"/>
    </row>
    <row r="3" spans="1:12" ht="30" customHeight="1" x14ac:dyDescent="0.25">
      <c r="A3" s="13"/>
      <c r="C3" s="6">
        <f ca="1">IF(DAY(AgoDom1)=1,AgoDom1-6,AgoDom1+1)</f>
        <v>42947</v>
      </c>
      <c r="D3" s="6">
        <f ca="1">IF(DAY(AgoDom1)=1,AgoDom1-5,AgoDom1+2)</f>
        <v>42948</v>
      </c>
      <c r="E3" s="6">
        <f ca="1">IF(DAY(AgoDom1)=1,AgoDom1-4,AgoDom1+3)</f>
        <v>42949</v>
      </c>
      <c r="F3" s="6">
        <f ca="1">IF(DAY(AgoDom1)=1,AgoDom1-3,AgoDom1+4)</f>
        <v>42950</v>
      </c>
      <c r="G3" s="6">
        <f ca="1">IF(DAY(AgoDom1)=1,AgoDom1-2,AgoDom1+5)</f>
        <v>42951</v>
      </c>
      <c r="H3" s="6">
        <f ca="1">IF(DAY(AgoDom1)=1,AgoDom1-1,AgoDom1+6)</f>
        <v>42952</v>
      </c>
      <c r="I3" s="6">
        <f ca="1">IF(DAY(AgoDom1)=1,AgoDom1,AgoDom1+7)</f>
        <v>42953</v>
      </c>
      <c r="J3" s="10"/>
      <c r="K3" s="40"/>
      <c r="L3" s="53"/>
    </row>
    <row r="4" spans="1:12" ht="30" customHeight="1" x14ac:dyDescent="0.25">
      <c r="A4" s="13"/>
      <c r="C4" s="6">
        <f ca="1">IF(DAY(AgoDom1)=1,AgoDom1+1,AgoDom1+8)</f>
        <v>42954</v>
      </c>
      <c r="D4" s="6">
        <f ca="1">IF(DAY(AgoDom1)=1,AgoDom1+2,AgoDom1+9)</f>
        <v>42955</v>
      </c>
      <c r="E4" s="6">
        <f ca="1">IF(DAY(AgoDom1)=1,AgoDom1+3,AgoDom1+10)</f>
        <v>42956</v>
      </c>
      <c r="F4" s="6">
        <f ca="1">IF(DAY(AgoDom1)=1,AgoDom1+4,AgoDom1+11)</f>
        <v>42957</v>
      </c>
      <c r="G4" s="6">
        <f ca="1">IF(DAY(AgoDom1)=1,AgoDom1+5,AgoDom1+12)</f>
        <v>42958</v>
      </c>
      <c r="H4" s="6">
        <f ca="1">IF(DAY(AgoDom1)=1,AgoDom1+6,AgoDom1+13)</f>
        <v>42959</v>
      </c>
      <c r="I4" s="6">
        <f ca="1">IF(DAY(AgoDom1)=1,AgoDom1+7,AgoDom1+14)</f>
        <v>42960</v>
      </c>
      <c r="J4" s="10"/>
      <c r="K4" s="40"/>
      <c r="L4" s="53"/>
    </row>
    <row r="5" spans="1:12" ht="30" customHeight="1" x14ac:dyDescent="0.25">
      <c r="A5" s="13"/>
      <c r="C5" s="6">
        <f ca="1">IF(DAY(AgoDom1)=1,AgoDom1+8,AgoDom1+15)</f>
        <v>42961</v>
      </c>
      <c r="D5" s="6">
        <f ca="1">IF(DAY(AgoDom1)=1,AgoDom1+9,AgoDom1+16)</f>
        <v>42962</v>
      </c>
      <c r="E5" s="6">
        <f ca="1">IF(DAY(AgoDom1)=1,AgoDom1+10,AgoDom1+17)</f>
        <v>42963</v>
      </c>
      <c r="F5" s="6">
        <f ca="1">IF(DAY(AgoDom1)=1,AgoDom1+11,AgoDom1+18)</f>
        <v>42964</v>
      </c>
      <c r="G5" s="6">
        <f ca="1">IF(DAY(AgoDom1)=1,AgoDom1+12,AgoDom1+19)</f>
        <v>42965</v>
      </c>
      <c r="H5" s="6">
        <f ca="1">IF(DAY(AgoDom1)=1,AgoDom1+13,AgoDom1+20)</f>
        <v>42966</v>
      </c>
      <c r="I5" s="6">
        <f ca="1">IF(DAY(AgoDom1)=1,AgoDom1+14,AgoDom1+21)</f>
        <v>42967</v>
      </c>
      <c r="J5" s="10"/>
      <c r="K5" s="40"/>
      <c r="L5" s="53"/>
    </row>
    <row r="6" spans="1:12" ht="30" customHeight="1" x14ac:dyDescent="0.25">
      <c r="A6" s="13"/>
      <c r="C6" s="6">
        <f ca="1">IF(DAY(AgoDom1)=1,AgoDom1+15,AgoDom1+22)</f>
        <v>42968</v>
      </c>
      <c r="D6" s="6">
        <f ca="1">IF(DAY(AgoDom1)=1,AgoDom1+16,AgoDom1+23)</f>
        <v>42969</v>
      </c>
      <c r="E6" s="6">
        <f ca="1">IF(DAY(AgoDom1)=1,AgoDom1+17,AgoDom1+24)</f>
        <v>42970</v>
      </c>
      <c r="F6" s="6">
        <f ca="1">IF(DAY(AgoDom1)=1,AgoDom1+18,AgoDom1+25)</f>
        <v>42971</v>
      </c>
      <c r="G6" s="6">
        <f ca="1">IF(DAY(AgoDom1)=1,AgoDom1+19,AgoDom1+26)</f>
        <v>42972</v>
      </c>
      <c r="H6" s="6">
        <f ca="1">IF(DAY(AgoDom1)=1,AgoDom1+20,AgoDom1+27)</f>
        <v>42973</v>
      </c>
      <c r="I6" s="6">
        <f ca="1">IF(DAY(AgoDom1)=1,AgoDom1+21,AgoDom1+28)</f>
        <v>42974</v>
      </c>
      <c r="J6" s="10"/>
      <c r="K6" s="40"/>
      <c r="L6" s="53"/>
    </row>
    <row r="7" spans="1:12" ht="30" customHeight="1" x14ac:dyDescent="0.25">
      <c r="A7" s="13"/>
      <c r="C7" s="6">
        <f ca="1">IF(DAY(AgoDom1)=1,AgoDom1+22,AgoDom1+29)</f>
        <v>42975</v>
      </c>
      <c r="D7" s="6">
        <f ca="1">IF(DAY(AgoDom1)=1,AgoDom1+23,AgoDom1+30)</f>
        <v>42976</v>
      </c>
      <c r="E7" s="6">
        <f ca="1">IF(DAY(AgoDom1)=1,AgoDom1+24,AgoDom1+31)</f>
        <v>42977</v>
      </c>
      <c r="F7" s="6">
        <f ca="1">IF(DAY(AgoDom1)=1,AgoDom1+25,AgoDom1+32)</f>
        <v>42978</v>
      </c>
      <c r="G7" s="6">
        <f ca="1">IF(DAY(AgoDom1)=1,AgoDom1+26,AgoDom1+33)</f>
        <v>42979</v>
      </c>
      <c r="H7" s="6">
        <f ca="1">IF(DAY(AgoDom1)=1,AgoDom1+27,AgoDom1+34)</f>
        <v>42980</v>
      </c>
      <c r="I7" s="6">
        <f ca="1">IF(DAY(AgoDom1)=1,AgoDom1+28,AgoDom1+35)</f>
        <v>42981</v>
      </c>
      <c r="J7" s="20"/>
      <c r="K7" s="39"/>
      <c r="L7" s="18"/>
    </row>
    <row r="8" spans="1:12" ht="30" customHeight="1" x14ac:dyDescent="0.25">
      <c r="A8" s="13"/>
      <c r="B8" s="18"/>
      <c r="C8" s="6">
        <f ca="1">IF(DAY(AgoDom1)=1,AgoDom1+29,AgoDom1+36)</f>
        <v>42982</v>
      </c>
      <c r="D8" s="6">
        <f ca="1">IF(DAY(AgoDom1)=1,AgoDom1+30,AgoDom1+37)</f>
        <v>42983</v>
      </c>
      <c r="E8" s="6">
        <f ca="1">IF(DAY(AgoDom1)=1,AgoDom1+31,AgoDom1+38)</f>
        <v>42984</v>
      </c>
      <c r="F8" s="6">
        <f ca="1">IF(DAY(AgoDom1)=1,AgoDom1+32,AgoDom1+39)</f>
        <v>42985</v>
      </c>
      <c r="G8" s="6">
        <f ca="1">IF(DAY(AgoDom1)=1,AgoDom1+33,AgoDom1+40)</f>
        <v>42986</v>
      </c>
      <c r="H8" s="6">
        <f ca="1">IF(DAY(AgoDom1)=1,AgoDom1+34,AgoDom1+41)</f>
        <v>42987</v>
      </c>
      <c r="I8" s="6">
        <f ca="1">IF(DAY(AgoDom1)=1,AgoDom1+35,AgoDom1+42)</f>
        <v>42988</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5" t="s">
        <v>12</v>
      </c>
      <c r="D28" s="65"/>
      <c r="E28" s="65"/>
      <c r="F28" s="65"/>
      <c r="G28" s="65" t="s">
        <v>12</v>
      </c>
      <c r="H28" s="65"/>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5"/>
      <c r="D30" s="65"/>
      <c r="E30" s="65"/>
      <c r="F30" s="65"/>
      <c r="G30" s="65"/>
      <c r="H30" s="65"/>
      <c r="I30" s="22"/>
      <c r="J30" s="10"/>
      <c r="K30" s="40"/>
      <c r="L30" s="53"/>
    </row>
    <row r="31" spans="1:12" ht="30" customHeight="1" x14ac:dyDescent="0.25">
      <c r="A31" s="26" t="s">
        <v>2</v>
      </c>
      <c r="B31" s="28"/>
      <c r="C31" s="62"/>
      <c r="D31" s="62"/>
      <c r="E31" s="62"/>
      <c r="F31" s="62"/>
      <c r="G31" s="62"/>
      <c r="H31" s="62"/>
      <c r="I31" s="44"/>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1" priority="6" stopIfTrue="1">
      <formula>DAY(C3)&gt;8</formula>
    </cfRule>
  </conditionalFormatting>
  <conditionalFormatting sqref="C7:I8">
    <cfRule type="expression" dxfId="40" priority="5" stopIfTrue="1">
      <formula>AND(DAY(C7)&gt;=1,DAY(C7)&lt;=15)</formula>
    </cfRule>
  </conditionalFormatting>
  <conditionalFormatting sqref="C3:I8">
    <cfRule type="expression" dxfId="39" priority="7">
      <formula>VLOOKUP(DAY(C3),AssignmentDays,1,FALSE)=DAY(C3)</formula>
    </cfRule>
  </conditionalFormatting>
  <conditionalFormatting sqref="B12:I12 B14:I14 B16:I16 B18:I18 B20:I20 B22:I22 B24:I24 B26:I26 B28:I28 B30:I30">
    <cfRule type="expression" dxfId="38" priority="4">
      <formula>B12&lt;&gt;""</formula>
    </cfRule>
  </conditionalFormatting>
  <conditionalFormatting sqref="B13:I13 B15:I15 B17:I17 B19:I19 B21:I21 B23:I23 B25:I25 B27:I27 B29:I29 B31:I31">
    <cfRule type="expression" dxfId="37" priority="3">
      <formula>B12&lt;&gt;""</formula>
    </cfRule>
  </conditionalFormatting>
  <conditionalFormatting sqref="B13:I13 B15:I15 B17:I17 B19:I19 B21:I21 B23:I23 B25:I25 B27:I27 B29:I29">
    <cfRule type="expression" dxfId="36" priority="2">
      <formula>COLUMN(B13)&gt;=2</formula>
    </cfRule>
  </conditionalFormatting>
  <conditionalFormatting sqref="B12:I31">
    <cfRule type="expression" dxfId="35" priority="1">
      <formula>COLUMN(B12)&gt;2</formula>
    </cfRule>
  </conditionalFormatting>
  <dataValidations xWindow="132" yWindow="585" count="13">
    <dataValidation allowBlank="1" showInputMessage="1" showErrorMessage="1" prompt="El calendario de agosto resalta automáticamente las entradas de la lista de tareas para el mes. Las fuentes más oscuras indican tareas. Las fuentes más claras indican días que pertenecen al mes anterior o siguiente." sqref="B2"/>
    <dataValidation allowBlank="1" showInputMessage="1" showErrorMessage="1" prompt="El año se actualiza automáticamente. Para cambiar el año, actualice la celda B1 en la hoja de cálculo de Ene." sqref="B1"/>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Las celdas C2 a I2 contienen días de la semana." sqref="C2"/>
    <dataValidation allowBlank="1" showInputMessage="1" showErrorMessage="1" prompt="Si esta celda no contiene el número 1, se trata de un día del mes anterior. Las celdas C3 a I8 contienen fechas para el mes actual." sqref="C3"/>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Escriba la hora en esta fila, de la columna B a la I." sqref="B12"/>
    <dataValidation allowBlank="1" showInputMessage="1" showErrorMessage="1" prompt="Escriba la clase en esta fila, de la columna B a la I." sqref="B13"/>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baseColWidth="10" defaultColWidth="8.625" defaultRowHeight="30" customHeight="1" x14ac:dyDescent="0.2"/>
  <cols>
    <col min="1" max="1" width="2.625" style="1" customWidth="1"/>
    <col min="2" max="2" width="20.625" style="17" customWidth="1"/>
    <col min="3" max="8" width="10.625" style="1" customWidth="1"/>
    <col min="9" max="9" width="20.625" style="1" customWidth="1"/>
    <col min="10" max="10" width="10.625" style="17" customWidth="1"/>
    <col min="11" max="11" width="10.625" style="2" customWidth="1"/>
    <col min="12" max="12" width="70.625" style="1" customWidth="1"/>
    <col min="13" max="13" width="2.625" customWidth="1"/>
  </cols>
  <sheetData>
    <row r="1" spans="1:12" ht="30" customHeight="1" x14ac:dyDescent="0.2">
      <c r="A1" s="17"/>
      <c r="B1" s="12">
        <f ca="1">AñoCalendario</f>
        <v>2017</v>
      </c>
      <c r="J1" s="19" t="s">
        <v>0</v>
      </c>
      <c r="K1" s="19" t="s">
        <v>14</v>
      </c>
      <c r="L1" s="11" t="s">
        <v>15</v>
      </c>
    </row>
    <row r="2" spans="1:12" ht="30" customHeight="1" x14ac:dyDescent="0.25">
      <c r="A2" s="13"/>
      <c r="B2" s="23" t="s">
        <v>26</v>
      </c>
      <c r="C2" s="7" t="s">
        <v>30</v>
      </c>
      <c r="D2" s="7" t="s">
        <v>31</v>
      </c>
      <c r="E2" s="7" t="s">
        <v>32</v>
      </c>
      <c r="F2" s="7" t="s">
        <v>33</v>
      </c>
      <c r="G2" s="7" t="s">
        <v>34</v>
      </c>
      <c r="H2" s="7" t="s">
        <v>35</v>
      </c>
      <c r="I2" s="7" t="s">
        <v>36</v>
      </c>
      <c r="J2" s="10" t="s">
        <v>30</v>
      </c>
      <c r="K2" s="46"/>
      <c r="L2" s="53"/>
    </row>
    <row r="3" spans="1:12" ht="30" customHeight="1" x14ac:dyDescent="0.25">
      <c r="A3" s="13"/>
      <c r="C3" s="6">
        <f ca="1">IF(DAY(SepDom1)=1,SepDom1-6,SepDom1+1)</f>
        <v>42975</v>
      </c>
      <c r="D3" s="6">
        <f ca="1">IF(DAY(SepDom1)=1,SepDom1-5,SepDom1+2)</f>
        <v>42976</v>
      </c>
      <c r="E3" s="6">
        <f ca="1">IF(DAY(SepDom1)=1,SepDom1-4,SepDom1+3)</f>
        <v>42977</v>
      </c>
      <c r="F3" s="6">
        <f ca="1">IF(DAY(SepDom1)=1,SepDom1-3,SepDom1+4)</f>
        <v>42978</v>
      </c>
      <c r="G3" s="6">
        <f ca="1">IF(DAY(SepDom1)=1,SepDom1-2,SepDom1+5)</f>
        <v>42979</v>
      </c>
      <c r="H3" s="6">
        <f ca="1">IF(DAY(SepDom1)=1,SepDom1-1,SepDom1+6)</f>
        <v>42980</v>
      </c>
      <c r="I3" s="6">
        <f ca="1">IF(DAY(SepDom1)=1,SepDom1,SepDom1+7)</f>
        <v>42981</v>
      </c>
      <c r="J3" s="10"/>
      <c r="K3" s="40"/>
      <c r="L3" s="53"/>
    </row>
    <row r="4" spans="1:12" ht="30" customHeight="1" x14ac:dyDescent="0.25">
      <c r="A4" s="13"/>
      <c r="C4" s="6">
        <f ca="1">IF(DAY(SepDom1)=1,SepDom1+1,SepDom1+8)</f>
        <v>42982</v>
      </c>
      <c r="D4" s="6">
        <f ca="1">IF(DAY(SepDom1)=1,SepDom1+2,SepDom1+9)</f>
        <v>42983</v>
      </c>
      <c r="E4" s="6">
        <f ca="1">IF(DAY(SepDom1)=1,SepDom1+3,SepDom1+10)</f>
        <v>42984</v>
      </c>
      <c r="F4" s="6">
        <f ca="1">IF(DAY(SepDom1)=1,SepDom1+4,SepDom1+11)</f>
        <v>42985</v>
      </c>
      <c r="G4" s="6">
        <f ca="1">IF(DAY(SepDom1)=1,SepDom1+5,SepDom1+12)</f>
        <v>42986</v>
      </c>
      <c r="H4" s="6">
        <f ca="1">IF(DAY(SepDom1)=1,SepDom1+6,SepDom1+13)</f>
        <v>42987</v>
      </c>
      <c r="I4" s="6">
        <f ca="1">IF(DAY(SepDom1)=1,SepDom1+7,SepDom1+14)</f>
        <v>42988</v>
      </c>
      <c r="J4" s="10"/>
      <c r="K4" s="40"/>
      <c r="L4" s="53"/>
    </row>
    <row r="5" spans="1:12" ht="30" customHeight="1" x14ac:dyDescent="0.25">
      <c r="A5" s="13"/>
      <c r="C5" s="6">
        <f ca="1">IF(DAY(SepDom1)=1,SepDom1+8,SepDom1+15)</f>
        <v>42989</v>
      </c>
      <c r="D5" s="6">
        <f ca="1">IF(DAY(SepDom1)=1,SepDom1+9,SepDom1+16)</f>
        <v>42990</v>
      </c>
      <c r="E5" s="6">
        <f ca="1">IF(DAY(SepDom1)=1,SepDom1+10,SepDom1+17)</f>
        <v>42991</v>
      </c>
      <c r="F5" s="6">
        <f ca="1">IF(DAY(SepDom1)=1,SepDom1+11,SepDom1+18)</f>
        <v>42992</v>
      </c>
      <c r="G5" s="6">
        <f ca="1">IF(DAY(SepDom1)=1,SepDom1+12,SepDom1+19)</f>
        <v>42993</v>
      </c>
      <c r="H5" s="6">
        <f ca="1">IF(DAY(SepDom1)=1,SepDom1+13,SepDom1+20)</f>
        <v>42994</v>
      </c>
      <c r="I5" s="6">
        <f ca="1">IF(DAY(SepDom1)=1,SepDom1+14,SepDom1+21)</f>
        <v>42995</v>
      </c>
      <c r="J5" s="10"/>
      <c r="K5" s="40"/>
      <c r="L5" s="53"/>
    </row>
    <row r="6" spans="1:12" ht="30" customHeight="1" x14ac:dyDescent="0.25">
      <c r="A6" s="13"/>
      <c r="C6" s="6">
        <f ca="1">IF(DAY(SepDom1)=1,SepDom1+15,SepDom1+22)</f>
        <v>42996</v>
      </c>
      <c r="D6" s="6">
        <f ca="1">IF(DAY(SepDom1)=1,SepDom1+16,SepDom1+23)</f>
        <v>42997</v>
      </c>
      <c r="E6" s="6">
        <f ca="1">IF(DAY(SepDom1)=1,SepDom1+17,SepDom1+24)</f>
        <v>42998</v>
      </c>
      <c r="F6" s="6">
        <f ca="1">IF(DAY(SepDom1)=1,SepDom1+18,SepDom1+25)</f>
        <v>42999</v>
      </c>
      <c r="G6" s="6">
        <f ca="1">IF(DAY(SepDom1)=1,SepDom1+19,SepDom1+26)</f>
        <v>43000</v>
      </c>
      <c r="H6" s="6">
        <f ca="1">IF(DAY(SepDom1)=1,SepDom1+20,SepDom1+27)</f>
        <v>43001</v>
      </c>
      <c r="I6" s="6">
        <f ca="1">IF(DAY(SepDom1)=1,SepDom1+21,SepDom1+28)</f>
        <v>43002</v>
      </c>
      <c r="J6" s="10"/>
      <c r="K6" s="40"/>
      <c r="L6" s="53"/>
    </row>
    <row r="7" spans="1:12" ht="30" customHeight="1" x14ac:dyDescent="0.25">
      <c r="A7" s="13"/>
      <c r="C7" s="6">
        <f ca="1">IF(DAY(SepDom1)=1,SepDom1+22,SepDom1+29)</f>
        <v>43003</v>
      </c>
      <c r="D7" s="6">
        <f ca="1">IF(DAY(SepDom1)=1,SepDom1+23,SepDom1+30)</f>
        <v>43004</v>
      </c>
      <c r="E7" s="6">
        <f ca="1">IF(DAY(SepDom1)=1,SepDom1+24,SepDom1+31)</f>
        <v>43005</v>
      </c>
      <c r="F7" s="6">
        <f ca="1">IF(DAY(SepDom1)=1,SepDom1+25,SepDom1+32)</f>
        <v>43006</v>
      </c>
      <c r="G7" s="6">
        <f ca="1">IF(DAY(SepDom1)=1,SepDom1+26,SepDom1+33)</f>
        <v>43007</v>
      </c>
      <c r="H7" s="6">
        <f ca="1">IF(DAY(SepDom1)=1,SepDom1+27,SepDom1+34)</f>
        <v>43008</v>
      </c>
      <c r="I7" s="6">
        <f ca="1">IF(DAY(SepDom1)=1,SepDom1+28,SepDom1+35)</f>
        <v>43009</v>
      </c>
      <c r="J7" s="20"/>
      <c r="K7" s="39"/>
      <c r="L7" s="18"/>
    </row>
    <row r="8" spans="1:12" ht="30" customHeight="1" x14ac:dyDescent="0.25">
      <c r="A8" s="13"/>
      <c r="B8" s="18"/>
      <c r="C8" s="6">
        <f ca="1">IF(DAY(SepDom1)=1,SepDom1+29,SepDom1+36)</f>
        <v>43010</v>
      </c>
      <c r="D8" s="6">
        <f ca="1">IF(DAY(SepDom1)=1,SepDom1+30,SepDom1+37)</f>
        <v>43011</v>
      </c>
      <c r="E8" s="6">
        <f ca="1">IF(DAY(SepDom1)=1,SepDom1+31,SepDom1+38)</f>
        <v>43012</v>
      </c>
      <c r="F8" s="6">
        <f ca="1">IF(DAY(SepDom1)=1,SepDom1+32,SepDom1+39)</f>
        <v>43013</v>
      </c>
      <c r="G8" s="6">
        <f ca="1">IF(DAY(SepDom1)=1,SepDom1+33,SepDom1+40)</f>
        <v>43014</v>
      </c>
      <c r="H8" s="6">
        <f ca="1">IF(DAY(SepDom1)=1,SepDom1+34,SepDom1+41)</f>
        <v>43015</v>
      </c>
      <c r="I8" s="6">
        <f ca="1">IF(DAY(SepDom1)=1,SepDom1+35,SepDom1+42)</f>
        <v>43016</v>
      </c>
      <c r="J8" s="10" t="s">
        <v>31</v>
      </c>
      <c r="K8" s="41"/>
      <c r="L8" s="53"/>
    </row>
    <row r="9" spans="1:12" ht="30" customHeight="1" x14ac:dyDescent="0.25">
      <c r="A9" s="13"/>
      <c r="C9" s="4"/>
      <c r="D9" s="4"/>
      <c r="E9" s="4"/>
      <c r="F9" s="4"/>
      <c r="G9" s="4"/>
      <c r="H9" s="4"/>
      <c r="I9" s="4"/>
      <c r="J9" s="10"/>
      <c r="K9" s="40"/>
      <c r="L9" s="53"/>
    </row>
    <row r="10" spans="1:12" ht="30" customHeight="1" x14ac:dyDescent="0.25">
      <c r="A10" s="13"/>
      <c r="B10" s="16" t="s">
        <v>4</v>
      </c>
      <c r="C10" s="9"/>
      <c r="D10" s="9"/>
      <c r="E10" s="9"/>
      <c r="F10" s="9"/>
      <c r="G10" s="9"/>
      <c r="H10" s="9"/>
      <c r="I10" s="9"/>
      <c r="J10" s="10"/>
      <c r="K10" s="40"/>
      <c r="L10" s="53"/>
    </row>
    <row r="11" spans="1:12" ht="30" customHeight="1" x14ac:dyDescent="0.25">
      <c r="A11" s="26" t="s">
        <v>0</v>
      </c>
      <c r="B11" s="25" t="s">
        <v>30</v>
      </c>
      <c r="C11" s="58" t="s">
        <v>31</v>
      </c>
      <c r="D11" s="59"/>
      <c r="E11" s="58" t="s">
        <v>32</v>
      </c>
      <c r="F11" s="59"/>
      <c r="G11" s="58" t="s">
        <v>33</v>
      </c>
      <c r="H11" s="59"/>
      <c r="I11" s="3" t="s">
        <v>34</v>
      </c>
      <c r="J11" s="10"/>
      <c r="K11" s="40"/>
      <c r="L11" s="53"/>
    </row>
    <row r="12" spans="1:12" ht="30" customHeight="1" x14ac:dyDescent="0.25">
      <c r="A12" s="26" t="s">
        <v>1</v>
      </c>
      <c r="B12" s="21">
        <v>0.33333333333333331</v>
      </c>
      <c r="C12" s="65"/>
      <c r="D12" s="65"/>
      <c r="E12" s="65">
        <v>0.33333333333333331</v>
      </c>
      <c r="F12" s="65"/>
      <c r="G12" s="65"/>
      <c r="H12" s="65"/>
      <c r="I12" s="22">
        <v>0.33333333333333331</v>
      </c>
      <c r="J12" s="10"/>
      <c r="K12" s="40"/>
      <c r="L12" s="53"/>
    </row>
    <row r="13" spans="1:12" ht="30" customHeight="1" x14ac:dyDescent="0.25">
      <c r="A13" s="26" t="s">
        <v>2</v>
      </c>
      <c r="B13" s="27" t="s">
        <v>5</v>
      </c>
      <c r="C13" s="60"/>
      <c r="D13" s="60"/>
      <c r="E13" s="60" t="s">
        <v>5</v>
      </c>
      <c r="F13" s="60"/>
      <c r="G13" s="60"/>
      <c r="H13" s="60"/>
      <c r="I13" s="30" t="s">
        <v>5</v>
      </c>
      <c r="J13" s="20"/>
      <c r="K13" s="39"/>
      <c r="L13" s="18"/>
    </row>
    <row r="14" spans="1:12" ht="30" customHeight="1" x14ac:dyDescent="0.25">
      <c r="A14" s="26" t="s">
        <v>1</v>
      </c>
      <c r="B14" s="21"/>
      <c r="C14" s="65">
        <v>0.375</v>
      </c>
      <c r="D14" s="65"/>
      <c r="E14" s="65"/>
      <c r="F14" s="65"/>
      <c r="G14" s="65">
        <v>0.375</v>
      </c>
      <c r="H14" s="65"/>
      <c r="I14" s="22"/>
      <c r="J14" s="10" t="s">
        <v>32</v>
      </c>
      <c r="K14" s="41"/>
      <c r="L14" s="53"/>
    </row>
    <row r="15" spans="1:12" ht="30" customHeight="1" x14ac:dyDescent="0.25">
      <c r="A15" s="26" t="s">
        <v>2</v>
      </c>
      <c r="B15" s="27"/>
      <c r="C15" s="60" t="s">
        <v>11</v>
      </c>
      <c r="D15" s="60"/>
      <c r="E15" s="60"/>
      <c r="F15" s="60"/>
      <c r="G15" s="60" t="s">
        <v>11</v>
      </c>
      <c r="H15" s="60"/>
      <c r="I15" s="30"/>
      <c r="J15" s="10"/>
      <c r="K15" s="40"/>
      <c r="L15" s="53"/>
    </row>
    <row r="16" spans="1:12" ht="30" customHeight="1" x14ac:dyDescent="0.25">
      <c r="A16" s="26" t="s">
        <v>1</v>
      </c>
      <c r="B16" s="21" t="s">
        <v>6</v>
      </c>
      <c r="C16" s="65"/>
      <c r="D16" s="65"/>
      <c r="E16" s="65" t="s">
        <v>6</v>
      </c>
      <c r="F16" s="65"/>
      <c r="G16" s="65"/>
      <c r="H16" s="65"/>
      <c r="I16" s="24" t="s">
        <v>6</v>
      </c>
      <c r="J16" s="10"/>
      <c r="K16" s="40"/>
      <c r="L16" s="53"/>
    </row>
    <row r="17" spans="1:12" ht="30" customHeight="1" x14ac:dyDescent="0.25">
      <c r="A17" s="26" t="s">
        <v>2</v>
      </c>
      <c r="B17" s="27" t="s">
        <v>7</v>
      </c>
      <c r="C17" s="60"/>
      <c r="D17" s="60"/>
      <c r="E17" s="60" t="s">
        <v>7</v>
      </c>
      <c r="F17" s="60"/>
      <c r="G17" s="60"/>
      <c r="H17" s="60"/>
      <c r="I17" s="30" t="s">
        <v>7</v>
      </c>
      <c r="J17" s="10"/>
      <c r="K17" s="40"/>
      <c r="L17" s="53"/>
    </row>
    <row r="18" spans="1:12" ht="30" customHeight="1" x14ac:dyDescent="0.25">
      <c r="A18" s="26" t="s">
        <v>1</v>
      </c>
      <c r="B18" s="21"/>
      <c r="C18" s="65"/>
      <c r="D18" s="65"/>
      <c r="E18" s="65"/>
      <c r="F18" s="65"/>
      <c r="G18" s="65"/>
      <c r="H18" s="65"/>
      <c r="I18" s="22"/>
      <c r="J18" s="10"/>
      <c r="K18" s="40"/>
      <c r="L18" s="53"/>
    </row>
    <row r="19" spans="1:12" ht="30" customHeight="1" x14ac:dyDescent="0.25">
      <c r="A19" s="26" t="s">
        <v>2</v>
      </c>
      <c r="B19" s="27"/>
      <c r="C19" s="60"/>
      <c r="D19" s="60"/>
      <c r="E19" s="60"/>
      <c r="F19" s="60"/>
      <c r="G19" s="60"/>
      <c r="H19" s="60"/>
      <c r="I19" s="51"/>
      <c r="J19" s="20"/>
      <c r="K19" s="39"/>
      <c r="L19" s="54"/>
    </row>
    <row r="20" spans="1:12" ht="30" customHeight="1" x14ac:dyDescent="0.25">
      <c r="A20" s="26" t="s">
        <v>1</v>
      </c>
      <c r="B20" s="21"/>
      <c r="C20" s="65"/>
      <c r="D20" s="65"/>
      <c r="E20" s="65"/>
      <c r="F20" s="65"/>
      <c r="G20" s="65"/>
      <c r="H20" s="65"/>
      <c r="I20" s="22"/>
      <c r="J20" s="10" t="s">
        <v>33</v>
      </c>
      <c r="K20" s="41"/>
      <c r="L20" s="53"/>
    </row>
    <row r="21" spans="1:12" ht="30" customHeight="1" x14ac:dyDescent="0.25">
      <c r="A21" s="26" t="s">
        <v>2</v>
      </c>
      <c r="B21" s="27"/>
      <c r="C21" s="60"/>
      <c r="D21" s="60"/>
      <c r="E21" s="60"/>
      <c r="F21" s="60"/>
      <c r="G21" s="60"/>
      <c r="H21" s="60"/>
      <c r="I21" s="30"/>
      <c r="J21" s="10"/>
      <c r="K21" s="40"/>
      <c r="L21" s="53"/>
    </row>
    <row r="22" spans="1:12" ht="30" customHeight="1" x14ac:dyDescent="0.25">
      <c r="A22" s="26" t="s">
        <v>1</v>
      </c>
      <c r="B22" s="21"/>
      <c r="C22" s="65"/>
      <c r="D22" s="65"/>
      <c r="E22" s="65"/>
      <c r="F22" s="65"/>
      <c r="G22" s="65"/>
      <c r="H22" s="65"/>
      <c r="I22" s="22"/>
      <c r="J22" s="10"/>
      <c r="K22" s="40"/>
      <c r="L22" s="53"/>
    </row>
    <row r="23" spans="1:12" ht="30" customHeight="1" x14ac:dyDescent="0.25">
      <c r="A23" s="26" t="s">
        <v>2</v>
      </c>
      <c r="B23" s="27"/>
      <c r="C23" s="60"/>
      <c r="D23" s="60"/>
      <c r="E23" s="60"/>
      <c r="F23" s="60"/>
      <c r="G23" s="60"/>
      <c r="H23" s="60"/>
      <c r="I23" s="30"/>
      <c r="J23" s="10"/>
      <c r="K23" s="40"/>
      <c r="L23" s="53"/>
    </row>
    <row r="24" spans="1:12" ht="30" customHeight="1" x14ac:dyDescent="0.25">
      <c r="A24" s="26" t="s">
        <v>1</v>
      </c>
      <c r="B24" s="21" t="s">
        <v>8</v>
      </c>
      <c r="C24" s="65"/>
      <c r="D24" s="65"/>
      <c r="E24" s="65" t="s">
        <v>8</v>
      </c>
      <c r="F24" s="65"/>
      <c r="G24" s="65"/>
      <c r="H24" s="65"/>
      <c r="I24" s="22" t="s">
        <v>8</v>
      </c>
      <c r="J24" s="10"/>
      <c r="K24" s="40"/>
      <c r="L24" s="53"/>
    </row>
    <row r="25" spans="1:12" ht="30" customHeight="1" x14ac:dyDescent="0.25">
      <c r="A25" s="26" t="s">
        <v>2</v>
      </c>
      <c r="B25" s="27" t="s">
        <v>9</v>
      </c>
      <c r="C25" s="60"/>
      <c r="D25" s="60"/>
      <c r="E25" s="60" t="s">
        <v>9</v>
      </c>
      <c r="F25" s="60"/>
      <c r="G25" s="60"/>
      <c r="H25" s="60"/>
      <c r="I25" s="30" t="s">
        <v>9</v>
      </c>
      <c r="J25" s="20"/>
      <c r="K25" s="39"/>
      <c r="L25" s="54"/>
    </row>
    <row r="26" spans="1:12" ht="30" customHeight="1" x14ac:dyDescent="0.25">
      <c r="A26" s="26" t="s">
        <v>1</v>
      </c>
      <c r="B26" s="21"/>
      <c r="C26" s="65"/>
      <c r="D26" s="65"/>
      <c r="E26" s="65"/>
      <c r="F26" s="65"/>
      <c r="G26" s="65"/>
      <c r="H26" s="65"/>
      <c r="I26" s="22"/>
      <c r="J26" s="10" t="s">
        <v>34</v>
      </c>
      <c r="K26" s="41"/>
      <c r="L26" s="53"/>
    </row>
    <row r="27" spans="1:12" ht="30" customHeight="1" x14ac:dyDescent="0.25">
      <c r="A27" s="26" t="s">
        <v>2</v>
      </c>
      <c r="B27" s="27"/>
      <c r="C27" s="60"/>
      <c r="D27" s="60"/>
      <c r="E27" s="60"/>
      <c r="F27" s="60"/>
      <c r="G27" s="60"/>
      <c r="H27" s="60"/>
      <c r="I27" s="30"/>
      <c r="J27" s="10"/>
      <c r="K27" s="40"/>
      <c r="L27" s="53"/>
    </row>
    <row r="28" spans="1:12" ht="30" customHeight="1" x14ac:dyDescent="0.25">
      <c r="A28" s="26" t="s">
        <v>1</v>
      </c>
      <c r="B28" s="21"/>
      <c r="C28" s="65" t="s">
        <v>12</v>
      </c>
      <c r="D28" s="65"/>
      <c r="E28" s="65"/>
      <c r="F28" s="65"/>
      <c r="G28" s="65" t="s">
        <v>12</v>
      </c>
      <c r="H28" s="65"/>
      <c r="I28" s="22"/>
      <c r="J28" s="10"/>
      <c r="K28" s="40"/>
      <c r="L28" s="53"/>
    </row>
    <row r="29" spans="1:12" ht="30" customHeight="1" x14ac:dyDescent="0.25">
      <c r="A29" s="26" t="s">
        <v>2</v>
      </c>
      <c r="B29" s="27"/>
      <c r="C29" s="60" t="s">
        <v>13</v>
      </c>
      <c r="D29" s="60"/>
      <c r="E29" s="60"/>
      <c r="F29" s="60"/>
      <c r="G29" s="60" t="s">
        <v>13</v>
      </c>
      <c r="H29" s="60"/>
      <c r="I29" s="30"/>
      <c r="J29" s="10"/>
      <c r="K29" s="40"/>
      <c r="L29" s="53"/>
    </row>
    <row r="30" spans="1:12" ht="30" customHeight="1" x14ac:dyDescent="0.25">
      <c r="A30" s="26" t="s">
        <v>1</v>
      </c>
      <c r="B30" s="21"/>
      <c r="C30" s="65"/>
      <c r="D30" s="65"/>
      <c r="E30" s="65"/>
      <c r="F30" s="65"/>
      <c r="G30" s="65"/>
      <c r="H30" s="65"/>
      <c r="I30" s="22"/>
      <c r="J30" s="10"/>
      <c r="K30" s="40"/>
      <c r="L30" s="53"/>
    </row>
    <row r="31" spans="1:12" ht="30" customHeight="1" x14ac:dyDescent="0.25">
      <c r="A31" s="26" t="s">
        <v>2</v>
      </c>
      <c r="B31" s="28"/>
      <c r="C31" s="62"/>
      <c r="D31" s="62"/>
      <c r="E31" s="62"/>
      <c r="F31" s="62"/>
      <c r="G31" s="62"/>
      <c r="H31" s="62"/>
      <c r="I31" s="44"/>
      <c r="J31" s="10"/>
      <c r="K31" s="46"/>
      <c r="L31" s="5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33" priority="6" stopIfTrue="1">
      <formula>DAY(C3)&gt;8</formula>
    </cfRule>
  </conditionalFormatting>
  <conditionalFormatting sqref="C7:I8">
    <cfRule type="expression" dxfId="32" priority="5" stopIfTrue="1">
      <formula>AND(DAY(C7)&gt;=1,DAY(C7)&lt;=15)</formula>
    </cfRule>
  </conditionalFormatting>
  <conditionalFormatting sqref="C3:I8">
    <cfRule type="expression" dxfId="31" priority="7">
      <formula>VLOOKUP(DAY(C3),AssignmentDays,1,FALSE)=DAY(C3)</formula>
    </cfRule>
  </conditionalFormatting>
  <conditionalFormatting sqref="B13:I13 B15:I15 B17:I17 B19:I19 B21:I21 B23:I23 B25:I25 B27:I27 B29:I29 B31:I31">
    <cfRule type="expression" dxfId="30" priority="4">
      <formula>B13&lt;&gt;""</formula>
    </cfRule>
  </conditionalFormatting>
  <conditionalFormatting sqref="B12:I12 B14:I14 B16:I16 B18:I18 B20:I20 B22:I22 B24:I24 B26:I26 B28:I28 B30:I30">
    <cfRule type="expression" dxfId="29" priority="3">
      <formula>B12&lt;&gt;""</formula>
    </cfRule>
  </conditionalFormatting>
  <conditionalFormatting sqref="B13:I13 B15:I15 B17:I17 B19:I19 B21:I21 B23:I23 B25:I25 B27:I27 B29:I29">
    <cfRule type="expression" dxfId="28" priority="2">
      <formula>COLUMN(B13)&gt;=2</formula>
    </cfRule>
  </conditionalFormatting>
  <conditionalFormatting sqref="B12:I31">
    <cfRule type="expression" dxfId="27" priority="1">
      <formula>COLUMN(B12)&gt;2</formula>
    </cfRule>
  </conditionalFormatting>
  <dataValidations count="13">
    <dataValidation allowBlank="1" showInputMessage="1" showErrorMessage="1" prompt="Escriba la clase en esta fila, de la columna B a la I." sqref="B13"/>
    <dataValidation allowBlank="1" showInputMessage="1" showErrorMessage="1" prompt="Escriba la hora en esta fila, de la columna B a la I." sqref="B12"/>
    <dataValidation allowBlank="1" showInputMessage="1" showErrorMessage="1" prompt="Si esta fila contiene un número menor que el número o la fila de números anterior, en ese caso, esta fila contiene fechas para el próximo mes del calendario." sqref="C8"/>
    <dataValidation allowBlank="1" showInputMessage="1" showErrorMessage="1" prompt="Si esta celda no contiene el número 1, se trata de un día del mes anterior. Las celdas C3 a I8 contienen fechas para el mes actual." sqref="C3"/>
    <dataValidation allowBlank="1" showInputMessage="1" showErrorMessage="1" prompt="Las celdas C2 a I2 contienen días de la semana." sqref="C2"/>
    <dataValidation allowBlank="1" showInputMessage="1" showErrorMessage="1" prompt="Prepare una programación semanal y cree una lista de tareas en esta hoja de cálculo. Las tareas se resaltan automáticamente en el calendario mensual del año especificado en B1 de la hoja de cálculo de Ene." sqref="A1"/>
    <dataValidation allowBlank="1" showInputMessage="1" showErrorMessage="1" prompt="El año se actualiza automáticamente. Para cambiar el año, actualice la celda B1 en la hoja de cálculo de Ene." sqref="B1"/>
    <dataValidation allowBlank="1" showInputMessage="1" showErrorMessage="1" prompt="El calendario de septiembre resalta automáticamente las entradas de la lista de tareas para el mes. Las fuentes más oscuras indican tareas. Las fuentes más claras indican días que pertenecen al mes anterior o siguiente." sqref="B2"/>
    <dataValidation allowBlank="1" showInputMessage="1" showErrorMessage="1" prompt="Los días de la semana se agrupan en esta columna con 6 filas para las tareas para cada día laborable agrupado del mes. Inserte las nuevas filas para agregar más tareas. El calendario a la izquierda resaltará elementos." sqref="J1"/>
    <dataValidation allowBlank="1" showInputMessage="1" showErrorMessage="1" prompt="Escriba en esta columna los detalles de la tarea correspondientes al día de la semana de la columna J y al día de la columna K del mes del calendario de la izquierda." sqref="L1"/>
    <dataValidation allowBlank="1" showInputMessage="1" showErrorMessage="1" prompt="Escriba en esta columna el día de la tarea del mes que corresponda al día de la semana de la columna J. Esta fecha resaltará la tarea en el calendario de la izquierda." sqref="K1"/>
    <dataValidation allowBlank="1" showInputMessage="1" showErrorMessage="1" prompt="Los días de la semana se encuentran en esta fila, del lunes al viernes." sqref="B11"/>
    <dataValidation allowBlank="1" showInputMessage="1" showErrorMessage="1" prompt="Escriba la hora de la clase y debajo, en una nueva fila, el nombre de clase para cada día de la semana en las columnas B a I. Repita este patrón para todas las clases en las filas posteriores."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61</vt:i4>
      </vt:variant>
    </vt:vector>
  </HeadingPairs>
  <TitlesOfParts>
    <vt:vector size="73" baseType="lpstr">
      <vt:lpstr>Ene</vt:lpstr>
      <vt:lpstr>Feb</vt:lpstr>
      <vt:lpstr>Mar</vt:lpstr>
      <vt:lpstr>Abr</vt:lpstr>
      <vt:lpstr>May</vt:lpstr>
      <vt:lpstr>Jun</vt:lpstr>
      <vt:lpstr>Jul</vt:lpstr>
      <vt:lpstr>Ago</vt:lpstr>
      <vt:lpstr>Sep</vt:lpstr>
      <vt:lpstr>Oct</vt:lpstr>
      <vt:lpstr>Nov</vt:lpstr>
      <vt:lpstr>Dic</vt:lpstr>
      <vt:lpstr>AñoCalendario</vt:lpstr>
      <vt:lpstr>Abr!AssignmentDays</vt:lpstr>
      <vt:lpstr>Ago!AssignmentDays</vt:lpstr>
      <vt:lpstr>Dic!AssignmentDays</vt:lpstr>
      <vt:lpstr>Feb!AssignmentDays</vt:lpstr>
      <vt:lpstr>Jul!AssignmentDays</vt:lpstr>
      <vt:lpstr>Jun!AssignmentDays</vt:lpstr>
      <vt:lpstr>Mar!AssignmentDays</vt:lpstr>
      <vt:lpstr>May!AssignmentDays</vt:lpstr>
      <vt:lpstr>Nov!AssignmentDays</vt:lpstr>
      <vt:lpstr>Oct!AssignmentDays</vt:lpstr>
      <vt:lpstr>Sep!AssignmentDays</vt:lpstr>
      <vt:lpstr>AssignmentDays</vt:lpstr>
      <vt:lpstr>ColumnTitleRegion1..I8.1</vt:lpstr>
      <vt:lpstr>ColumnTitleRegion1..I8.10</vt:lpstr>
      <vt:lpstr>ColumnTitleRegion1..I8.11</vt:lpstr>
      <vt:lpstr>ColumnTitleRegion1..I8.12</vt:lpstr>
      <vt:lpstr>ColumnTitleRegion1..I8.2</vt:lpstr>
      <vt:lpstr>ColumnTitleRegion1..I8.3</vt:lpstr>
      <vt:lpstr>ColumnTitleRegion1..I8.4</vt:lpstr>
      <vt:lpstr>ColumnTitleRegion1..I8.5</vt:lpstr>
      <vt:lpstr>ColumnTitleRegion1..I8.6</vt:lpstr>
      <vt:lpstr>ColumnTitleRegion1..I8.7</vt:lpstr>
      <vt:lpstr>ColumnTitleRegion1..I8.8</vt:lpstr>
      <vt:lpstr>ColumnTitleRegion1..I8.9</vt:lpstr>
      <vt:lpstr>Abr!ImportantDatesTable</vt:lpstr>
      <vt:lpstr>Ago!ImportantDatesTable</vt:lpstr>
      <vt:lpstr>Dic!ImportantDatesTable</vt:lpstr>
      <vt:lpstr>Feb!ImportantDatesTable</vt:lpstr>
      <vt:lpstr>Jul!ImportantDatesTable</vt:lpstr>
      <vt:lpstr>Jun!ImportantDatesTable</vt:lpstr>
      <vt:lpstr>Mar!ImportantDatesTable</vt:lpstr>
      <vt:lpstr>May!ImportantDatesTable</vt:lpstr>
      <vt:lpstr>Nov!ImportantDatesTable</vt:lpstr>
      <vt:lpstr>Oct!ImportantDatesTable</vt:lpstr>
      <vt:lpstr>Sep!ImportantDatesTable</vt:lpstr>
      <vt:lpstr>ImportantDatesTable</vt:lpstr>
      <vt:lpstr>TitleRegion2..I31.1</vt:lpstr>
      <vt:lpstr>TitleRegion2..I31.10</vt:lpstr>
      <vt:lpstr>TitleRegion2..I31.11</vt:lpstr>
      <vt:lpstr>TitleRegion2..I31.12</vt:lpstr>
      <vt:lpstr>TitleRegion2..I31.2</vt:lpstr>
      <vt:lpstr>TitleRegion2..I31.3</vt:lpstr>
      <vt:lpstr>TitleRegion2..I31.4</vt:lpstr>
      <vt:lpstr>TitleRegion2..I31.5</vt:lpstr>
      <vt:lpstr>TitleRegion2..I31.6</vt:lpstr>
      <vt:lpstr>TitleRegion2..I31.7</vt:lpstr>
      <vt:lpstr>TitleRegion2..I31.8</vt:lpstr>
      <vt:lpstr>TitleRegion2..I31.9</vt:lpstr>
      <vt:lpstr>TítuloDeColumna1</vt:lpstr>
      <vt:lpstr>TítuloDeColumna10</vt:lpstr>
      <vt:lpstr>TítuloDeColumna11</vt:lpstr>
      <vt:lpstr>TítuloDeColumna12</vt:lpstr>
      <vt:lpstr>TítuloDeColumna2</vt:lpstr>
      <vt:lpstr>TítuloDeColumna3</vt:lpstr>
      <vt:lpstr>TítuloDeColumna4</vt:lpstr>
      <vt:lpstr>TítuloDeColumna5</vt:lpstr>
      <vt:lpstr>TítuloDeColumna6</vt:lpstr>
      <vt:lpstr>TítuloDeColumna7</vt:lpstr>
      <vt:lpstr>TítuloDeColumna8</vt:lpstr>
      <vt:lpstr>TítuloDeColumna9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2016-12-22T23:12:27Z</dcterms:created>
  <dcterms:modified xsi:type="dcterms:W3CDTF">2017-08-03T02:04:39Z</dcterms:modified>
</cp:coreProperties>
</file>