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5480" windowHeight="11640" tabRatio="690"/>
  </bookViews>
  <sheets>
    <sheet name="Enero" sheetId="1" r:id="rId1"/>
    <sheet name="Febrero" sheetId="6" r:id="rId2"/>
    <sheet name="Marzo" sheetId="7" r:id="rId3"/>
    <sheet name="Abril" sheetId="8" r:id="rId4"/>
    <sheet name="Mayo" sheetId="9" r:id="rId5"/>
    <sheet name="Junio" sheetId="10" r:id="rId6"/>
    <sheet name="Julio" sheetId="11" r:id="rId7"/>
    <sheet name="Agosto" sheetId="12" r:id="rId8"/>
    <sheet name="Septiembre" sheetId="13" r:id="rId9"/>
    <sheet name="Octubre" sheetId="14" r:id="rId10"/>
    <sheet name="Noviembre" sheetId="15" r:id="rId11"/>
    <sheet name="Diciembre" sheetId="16" r:id="rId12"/>
  </sheets>
  <definedNames>
    <definedName name="AbrDom1">DATE(Año_Calendario,4,1)-WEEKDAY(DATE(Año_Calendario,4,1))+1</definedName>
    <definedName name="AgoDom1">DATE(Año_Calendario,8,1)-WEEKDAY(DATE(Año_Calendario,8,1))+1</definedName>
    <definedName name="Año_Calendario">Enero!$N$2</definedName>
    <definedName name="DíasDeTareas" localSheetId="3">Abril!$L$4:$L$33</definedName>
    <definedName name="DíasDeTareas" localSheetId="7">Agosto!$L$4:$L$33</definedName>
    <definedName name="DíasDeTareas" localSheetId="11">Diciembre!$L$4:$L$33</definedName>
    <definedName name="DíasDeTareas" localSheetId="1">Febrero!$L$4:$L$33</definedName>
    <definedName name="DíasDeTareas" localSheetId="6">Julio!$L$4:$L$33</definedName>
    <definedName name="DíasDeTareas" localSheetId="5">Junio!$L$4:$L$33</definedName>
    <definedName name="DíasDeTareas" localSheetId="2">Marzo!$L$4:$L$33</definedName>
    <definedName name="DíasDeTareas" localSheetId="4">Mayo!$L$4:$L$33</definedName>
    <definedName name="DíasDeTareas" localSheetId="10">Noviembre!$L$4:$L$33</definedName>
    <definedName name="DíasDeTareas" localSheetId="9">Octubre!$L$4:$L$33</definedName>
    <definedName name="DíasDeTareas" localSheetId="8">Septiembre!$L$4:$L$33</definedName>
    <definedName name="DíasDeTareas">Enero!$L$4:$L$33</definedName>
    <definedName name="DicDom1">DATE(Año_Calendario,12,1)-WEEKDAY(DATE(Año_Calendario,12,1))+1</definedName>
    <definedName name="FebDom1">DATE(Año_Calendario,2,1)-WEEKDAY(DATE(Año_Calendario,2,1))+1</definedName>
    <definedName name="JanSun1">DATE(Año_Calendario,1,1)-WEEKDAY(DATE(Año_Calendario,1,1))+1</definedName>
    <definedName name="JulDom1">DATE(Año_Calendario,7,1)-WEEKDAY(DATE(Año_Calendario,7,1))+1</definedName>
    <definedName name="JunDom1">DATE(Año_Calendario,6,1)-WEEKDAY(DATE(Año_Calendario,6,1))+1</definedName>
    <definedName name="MarDom1">DATE(Año_Calendario,3,1)-WEEKDAY(DATE(Año_Calendario,3,1))+1</definedName>
    <definedName name="MayDom1">DATE(Año_Calendario,5,1)-WEEKDAY(DATE(Año_Calendario,5,1))+1</definedName>
    <definedName name="NovDom1">DATE(Año_Calendario,11,1)-WEEKDAY(DATE(Año_Calendario,11,1))+1</definedName>
    <definedName name="OctDom1">DATE(Año_Calendario,10,1)-WEEKDAY(DATE(Año_Calendario,10,1))+1</definedName>
    <definedName name="_xlnm.Print_Area" localSheetId="3">Abril!$A$1:$M$50</definedName>
    <definedName name="_xlnm.Print_Area" localSheetId="7">Agosto!$A$1:$M$50</definedName>
    <definedName name="_xlnm.Print_Area" localSheetId="11">Diciembre!$A$1:$M$50</definedName>
    <definedName name="_xlnm.Print_Area" localSheetId="0">Enero!$A$1:$M$50</definedName>
    <definedName name="_xlnm.Print_Area" localSheetId="1">Febrero!$A$1:$M$50</definedName>
    <definedName name="_xlnm.Print_Area" localSheetId="6">Julio!$A$1:$M$50</definedName>
    <definedName name="_xlnm.Print_Area" localSheetId="5">Junio!$A$1:$M$50</definedName>
    <definedName name="_xlnm.Print_Area" localSheetId="2">Marzo!$A$1:$M$50</definedName>
    <definedName name="_xlnm.Print_Area" localSheetId="4">Mayo!$A$1:$M$50</definedName>
    <definedName name="_xlnm.Print_Area" localSheetId="10">Noviembre!$A$1:$M$50</definedName>
    <definedName name="_xlnm.Print_Area" localSheetId="9">Octubre!$A$1:$M$50</definedName>
    <definedName name="_xlnm.Print_Area" localSheetId="8">Septiembre!$A$1:$M$50</definedName>
    <definedName name="SepDom1">DATE(Año_Calendario,9,1)-WEEKDAY(DATE(Año_Calendario,9,1))+1</definedName>
    <definedName name="TablaFechasImportantes" localSheetId="3">Abril!$L$4:$M$8</definedName>
    <definedName name="TablaFechasImportantes" localSheetId="7">Agosto!$L$4:$M$8</definedName>
    <definedName name="TablaFechasImportantes" localSheetId="11">Diciembre!$L$4:$M$8</definedName>
    <definedName name="TablaFechasImportantes" localSheetId="1">Febrero!$L$4:$M$8</definedName>
    <definedName name="TablaFechasImportantes" localSheetId="6">Julio!$L$4:$M$8</definedName>
    <definedName name="TablaFechasImportantes" localSheetId="5">Junio!$L$4:$M$8</definedName>
    <definedName name="TablaFechasImportantes" localSheetId="2">Marzo!$L$4:$M$8</definedName>
    <definedName name="TablaFechasImportantes" localSheetId="4">Mayo!$L$4:$M$8</definedName>
    <definedName name="TablaFechasImportantes" localSheetId="10">Noviembre!$L$4:$M$8</definedName>
    <definedName name="TablaFechasImportantes" localSheetId="9">Octubre!$L$4:$M$8</definedName>
    <definedName name="TablaFechasImportantes" localSheetId="8">Septiembre!$L$4:$M$8</definedName>
    <definedName name="TablaFechasImportantes">Enero!$L$4:$M$8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8" l="1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 l="1"/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<sst xmlns="http://schemas.openxmlformats.org/spreadsheetml/2006/main" count="554" uniqueCount="38">
  <si>
    <t>S</t>
  </si>
  <si>
    <t>M</t>
  </si>
  <si>
    <t>8:00</t>
  </si>
  <si>
    <t>9:00</t>
  </si>
  <si>
    <t>2:00</t>
  </si>
  <si>
    <t>10:00</t>
  </si>
  <si>
    <t>4:00</t>
  </si>
  <si>
    <t>TAREAS</t>
  </si>
  <si>
    <t>ENERO</t>
  </si>
  <si>
    <t>L</t>
  </si>
  <si>
    <t>X</t>
  </si>
  <si>
    <t>J</t>
  </si>
  <si>
    <t>V</t>
  </si>
  <si>
    <t>D</t>
  </si>
  <si>
    <t>DICIEMBRE</t>
  </si>
  <si>
    <t>HORARIO SEMANAL</t>
  </si>
  <si>
    <t>LUN</t>
  </si>
  <si>
    <t>MAR</t>
  </si>
  <si>
    <t>MIÉ</t>
  </si>
  <si>
    <t>JUE</t>
  </si>
  <si>
    <t>VIE</t>
  </si>
  <si>
    <t>Francés</t>
  </si>
  <si>
    <t>Historia del arte</t>
  </si>
  <si>
    <t>Matemáticas</t>
  </si>
  <si>
    <t>Inglés</t>
  </si>
  <si>
    <t>Programación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</si>
  <si>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</si>
  <si>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</si>
  <si>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</si>
  <si>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</si>
  <si>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</si>
  <si>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</si>
  <si>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</si>
  <si>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</si>
  <si>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</si>
  <si>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</si>
  <si>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Matemáticas: Examen</t>
  </si>
  <si>
    <t>Francés: Entrega del primer borrador en papel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</si>
</sst>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sz val="10"/>
      <color indexed="63"/>
      <name val="Arial"/>
      <family val="4"/>
      <scheme val="minor"/>
    </font>
    <font>
      <b/>
      <sz val="28"/>
      <color theme="1" tint="0.34998626667073579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17"/>
      <color theme="4"/>
      <name val="Arial"/>
      <family val="4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17"/>
      <color theme="4"/>
      <name val="Arial"/>
      <family val="2"/>
      <scheme val="maj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24"/>
      <color theme="4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5">
    <xf numFmtId="0" fontId="0" fillId="0" borderId="0"/>
    <xf numFmtId="0" fontId="4" fillId="0" borderId="0"/>
    <xf numFmtId="0" fontId="3" fillId="2" borderId="1" applyNumberFormat="0" applyAlignment="0" applyProtection="0"/>
    <xf numFmtId="0" fontId="5" fillId="3" borderId="0" applyNumberFormat="0" applyBorder="0" applyAlignment="0" applyProtection="0"/>
    <xf numFmtId="0" fontId="6" fillId="0" borderId="0" applyNumberFormat="0" applyFill="0" applyAlignment="0" applyProtection="0"/>
  </cellStyleXfs>
  <cellXfs count="78">
    <xf numFmtId="0" fontId="0" fillId="0" borderId="0" xfId="0"/>
    <xf numFmtId="0" fontId="0" fillId="0" borderId="0" xfId="0" applyFont="1"/>
    <xf numFmtId="0" fontId="8" fillId="0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indent="1"/>
    </xf>
    <xf numFmtId="0" fontId="0" fillId="0" borderId="9" xfId="0" applyFont="1" applyBorder="1"/>
    <xf numFmtId="0" fontId="0" fillId="0" borderId="16" xfId="0" applyFont="1" applyBorder="1"/>
    <xf numFmtId="0" fontId="15" fillId="5" borderId="21" xfId="0" applyFont="1" applyFill="1" applyBorder="1" applyAlignment="1">
      <alignment horizontal="left" vertical="top" indent="1"/>
    </xf>
    <xf numFmtId="0" fontId="15" fillId="5" borderId="11" xfId="0" applyFont="1" applyFill="1" applyBorder="1" applyAlignment="1">
      <alignment horizontal="left" vertical="top" indent="1"/>
    </xf>
    <xf numFmtId="49" fontId="14" fillId="5" borderId="8" xfId="0" applyNumberFormat="1" applyFont="1" applyFill="1" applyBorder="1" applyAlignment="1">
      <alignment horizontal="left" indent="1"/>
    </xf>
    <xf numFmtId="49" fontId="14" fillId="5" borderId="24" xfId="0" applyNumberFormat="1" applyFont="1" applyFill="1" applyBorder="1" applyAlignment="1">
      <alignment horizontal="left" indent="1"/>
    </xf>
    <xf numFmtId="164" fontId="2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textRotation="90"/>
    </xf>
    <xf numFmtId="0" fontId="10" fillId="0" borderId="0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textRotation="90"/>
    </xf>
    <xf numFmtId="164" fontId="1" fillId="0" borderId="14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64" fontId="10" fillId="0" borderId="14" xfId="0" applyNumberFormat="1" applyFont="1" applyFill="1" applyBorder="1" applyAlignment="1">
      <alignment horizontal="center"/>
    </xf>
    <xf numFmtId="0" fontId="0" fillId="0" borderId="40" xfId="0" applyFont="1" applyBorder="1"/>
    <xf numFmtId="0" fontId="0" fillId="0" borderId="41" xfId="0" applyFont="1" applyBorder="1"/>
    <xf numFmtId="164" fontId="21" fillId="0" borderId="14" xfId="0" applyNumberFormat="1" applyFont="1" applyFill="1" applyBorder="1" applyAlignment="1">
      <alignment horizontal="left" vertical="center" wrapText="1" indent="1"/>
    </xf>
    <xf numFmtId="0" fontId="0" fillId="0" borderId="15" xfId="0" applyFont="1" applyBorder="1"/>
    <xf numFmtId="0" fontId="0" fillId="0" borderId="43" xfId="0" applyFont="1" applyBorder="1"/>
    <xf numFmtId="0" fontId="0" fillId="0" borderId="44" xfId="0" applyFont="1" applyBorder="1"/>
    <xf numFmtId="0" fontId="9" fillId="0" borderId="36" xfId="0" applyFont="1" applyBorder="1" applyAlignment="1">
      <alignment vertical="center" textRotation="90"/>
    </xf>
    <xf numFmtId="0" fontId="9" fillId="0" borderId="29" xfId="0" applyFont="1" applyBorder="1" applyAlignment="1">
      <alignment vertical="center" textRotation="90"/>
    </xf>
    <xf numFmtId="0" fontId="18" fillId="0" borderId="3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20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9" fillId="0" borderId="36" xfId="0" applyFont="1" applyBorder="1" applyAlignment="1">
      <alignment horizontal="right" vertical="center" textRotation="90"/>
    </xf>
    <xf numFmtId="0" fontId="9" fillId="0" borderId="29" xfId="0" applyFont="1" applyBorder="1" applyAlignment="1">
      <alignment horizontal="right" vertical="center" textRotation="90"/>
    </xf>
    <xf numFmtId="0" fontId="12" fillId="4" borderId="10" xfId="0" applyFont="1" applyFill="1" applyBorder="1" applyAlignment="1">
      <alignment horizontal="left" indent="1"/>
    </xf>
    <xf numFmtId="0" fontId="12" fillId="4" borderId="16" xfId="0" applyFont="1" applyFill="1" applyBorder="1" applyAlignment="1">
      <alignment horizontal="left" indent="1"/>
    </xf>
    <xf numFmtId="0" fontId="12" fillId="4" borderId="6" xfId="0" applyFont="1" applyFill="1" applyBorder="1" applyAlignment="1">
      <alignment horizontal="left" indent="1"/>
    </xf>
    <xf numFmtId="0" fontId="16" fillId="0" borderId="33" xfId="0" applyFont="1" applyBorder="1" applyAlignment="1">
      <alignment horizontal="left" vertical="center" indent="2"/>
    </xf>
    <xf numFmtId="0" fontId="16" fillId="0" borderId="34" xfId="0" applyFont="1" applyBorder="1" applyAlignment="1">
      <alignment horizontal="left" vertical="center" indent="2"/>
    </xf>
    <xf numFmtId="0" fontId="16" fillId="0" borderId="30" xfId="0" applyFont="1" applyBorder="1" applyAlignment="1">
      <alignment horizontal="left" vertical="center" indent="2"/>
    </xf>
    <xf numFmtId="0" fontId="16" fillId="0" borderId="31" xfId="0" applyFont="1" applyBorder="1" applyAlignment="1">
      <alignment horizontal="left" vertical="center" indent="2"/>
    </xf>
    <xf numFmtId="0" fontId="9" fillId="0" borderId="33" xfId="0" applyFont="1" applyBorder="1" applyAlignment="1">
      <alignment horizontal="right" vertical="center" textRotation="90"/>
    </xf>
    <xf numFmtId="0" fontId="18" fillId="0" borderId="37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13" fillId="0" borderId="35" xfId="0" applyFont="1" applyFill="1" applyBorder="1" applyAlignment="1">
      <alignment vertical="center"/>
    </xf>
    <xf numFmtId="0" fontId="13" fillId="0" borderId="32" xfId="0" applyFont="1" applyFill="1" applyBorder="1" applyAlignment="1">
      <alignment vertical="center"/>
    </xf>
    <xf numFmtId="0" fontId="15" fillId="5" borderId="22" xfId="0" applyFont="1" applyFill="1" applyBorder="1" applyAlignment="1">
      <alignment horizontal="left" vertical="top" indent="1"/>
    </xf>
    <xf numFmtId="0" fontId="15" fillId="5" borderId="23" xfId="0" applyFont="1" applyFill="1" applyBorder="1" applyAlignment="1">
      <alignment horizontal="left" vertical="top" indent="1"/>
    </xf>
    <xf numFmtId="49" fontId="14" fillId="5" borderId="10" xfId="0" applyNumberFormat="1" applyFont="1" applyFill="1" applyBorder="1" applyAlignment="1">
      <alignment horizontal="left" indent="1"/>
    </xf>
    <xf numFmtId="49" fontId="14" fillId="5" borderId="6" xfId="0" applyNumberFormat="1" applyFont="1" applyFill="1" applyBorder="1" applyAlignment="1">
      <alignment horizontal="left" indent="1"/>
    </xf>
    <xf numFmtId="49" fontId="14" fillId="5" borderId="25" xfId="0" applyNumberFormat="1" applyFont="1" applyFill="1" applyBorder="1" applyAlignment="1">
      <alignment horizontal="left" indent="1"/>
    </xf>
    <xf numFmtId="49" fontId="14" fillId="5" borderId="26" xfId="0" applyNumberFormat="1" applyFont="1" applyFill="1" applyBorder="1" applyAlignment="1">
      <alignment horizontal="left" indent="1"/>
    </xf>
    <xf numFmtId="0" fontId="15" fillId="5" borderId="12" xfId="0" applyFont="1" applyFill="1" applyBorder="1" applyAlignment="1">
      <alignment horizontal="left" vertical="top" indent="1"/>
    </xf>
    <xf numFmtId="0" fontId="15" fillId="5" borderId="13" xfId="0" applyFont="1" applyFill="1" applyBorder="1" applyAlignment="1">
      <alignment horizontal="left" vertical="top" indent="1"/>
    </xf>
    <xf numFmtId="164" fontId="15" fillId="5" borderId="22" xfId="0" applyNumberFormat="1" applyFont="1" applyFill="1" applyBorder="1" applyAlignment="1">
      <alignment horizontal="left" vertical="top" indent="1"/>
    </xf>
    <xf numFmtId="164" fontId="15" fillId="5" borderId="27" xfId="0" applyNumberFormat="1" applyFont="1" applyFill="1" applyBorder="1" applyAlignment="1">
      <alignment horizontal="left" vertical="top" indent="1"/>
    </xf>
    <xf numFmtId="49" fontId="14" fillId="5" borderId="28" xfId="0" applyNumberFormat="1" applyFont="1" applyFill="1" applyBorder="1" applyAlignment="1">
      <alignment horizontal="left" indent="1"/>
    </xf>
    <xf numFmtId="49" fontId="14" fillId="5" borderId="16" xfId="0" applyNumberFormat="1" applyFont="1" applyFill="1" applyBorder="1" applyAlignment="1">
      <alignment horizontal="left" indent="1"/>
    </xf>
    <xf numFmtId="49" fontId="14" fillId="5" borderId="10" xfId="0" applyNumberFormat="1" applyFont="1" applyFill="1" applyBorder="1" applyAlignment="1">
      <alignment horizontal="left" vertical="center" indent="1"/>
    </xf>
    <xf numFmtId="49" fontId="14" fillId="5" borderId="16" xfId="0" applyNumberFormat="1" applyFont="1" applyFill="1" applyBorder="1" applyAlignment="1">
      <alignment horizontal="left" vertical="center" indent="1"/>
    </xf>
    <xf numFmtId="0" fontId="17" fillId="5" borderId="22" xfId="0" applyFont="1" applyFill="1" applyBorder="1" applyAlignment="1">
      <alignment horizontal="left" vertical="top" indent="1"/>
    </xf>
    <xf numFmtId="0" fontId="17" fillId="5" borderId="27" xfId="0" applyFont="1" applyFill="1" applyBorder="1" applyAlignment="1">
      <alignment horizontal="left" vertical="top" indent="1"/>
    </xf>
    <xf numFmtId="0" fontId="15" fillId="5" borderId="27" xfId="0" applyFont="1" applyFill="1" applyBorder="1" applyAlignment="1">
      <alignment horizontal="left" vertical="top" indent="1"/>
    </xf>
    <xf numFmtId="0" fontId="22" fillId="0" borderId="39" xfId="0" applyFont="1" applyFill="1" applyBorder="1" applyAlignment="1">
      <alignment horizontal="center" vertical="center" textRotation="90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42" xfId="0" applyFont="1" applyFill="1" applyBorder="1" applyAlignment="1">
      <alignment horizontal="center" vertical="center" textRotation="90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164" fontId="19" fillId="0" borderId="5" xfId="0" applyNumberFormat="1" applyFont="1" applyFill="1" applyBorder="1" applyAlignment="1">
      <alignment horizontal="left"/>
    </xf>
    <xf numFmtId="164" fontId="19" fillId="0" borderId="20" xfId="0" applyNumberFormat="1" applyFont="1" applyFill="1" applyBorder="1" applyAlignment="1">
      <alignment horizontal="left"/>
    </xf>
    <xf numFmtId="49" fontId="17" fillId="5" borderId="10" xfId="0" applyNumberFormat="1" applyFont="1" applyFill="1" applyBorder="1" applyAlignment="1">
      <alignment horizontal="left" indent="1"/>
    </xf>
    <xf numFmtId="49" fontId="17" fillId="5" borderId="16" xfId="0" applyNumberFormat="1" applyFont="1" applyFill="1" applyBorder="1" applyAlignment="1">
      <alignment horizontal="left" indent="1"/>
    </xf>
    <xf numFmtId="164" fontId="15" fillId="5" borderId="12" xfId="0" applyNumberFormat="1" applyFont="1" applyFill="1" applyBorder="1" applyAlignment="1">
      <alignment horizontal="left" vertical="top" indent="1"/>
    </xf>
    <xf numFmtId="164" fontId="15" fillId="5" borderId="15" xfId="0" applyNumberFormat="1" applyFont="1" applyFill="1" applyBorder="1" applyAlignment="1">
      <alignment horizontal="left" vertical="top" indent="1"/>
    </xf>
  </cellXfs>
  <cellStyles count="5">
    <cellStyle name="40% - Accent1 2" xfId="3"/>
    <cellStyle name="Accent1 2" xfId="2"/>
    <cellStyle name="Heading 1 2" xfId="4"/>
    <cellStyle name="Normal" xfId="0" builtinId="0" customBuiltin="1"/>
    <cellStyle name="Normal 2" xfId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N$2" max="2999" min="1900" page="10" val="201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1</xdr:row>
      <xdr:rowOff>28575</xdr:rowOff>
    </xdr:from>
    <xdr:to>
      <xdr:col>18</xdr:col>
      <xdr:colOff>552450</xdr:colOff>
      <xdr:row>2</xdr:row>
      <xdr:rowOff>238124</xdr:rowOff>
    </xdr:to>
    <xdr:sp macro="" textlink="">
      <xdr:nvSpPr>
        <xdr:cNvPr id="3" name="TextBox 2"/>
        <xdr:cNvSpPr txBox="1"/>
      </xdr:nvSpPr>
      <xdr:spPr>
        <a:xfrm>
          <a:off x="9639300" y="171450"/>
          <a:ext cx="2286000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000" b="1">
              <a:solidFill>
                <a:schemeClr val="accent1"/>
              </a:solidFill>
            </a:rPr>
            <a:t>Haga clic en el control de número para cambiar</a:t>
          </a:r>
          <a:r>
            <a:rPr lang="en-US" sz="1000" b="1" baseline="0">
              <a:solidFill>
                <a:schemeClr val="accent1"/>
              </a:solidFill>
            </a:rPr>
            <a:t> el año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</xdr:row>
          <xdr:rowOff>85725</xdr:rowOff>
        </xdr:from>
        <xdr:to>
          <xdr:col>15</xdr:col>
          <xdr:colOff>0</xdr:colOff>
          <xdr:row>2</xdr:row>
          <xdr:rowOff>161925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8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47">
        <v>2011</v>
      </c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48"/>
    </row>
    <row r="4" spans="1:14" ht="18" customHeight="1" x14ac:dyDescent="0.2">
      <c r="A4" s="4"/>
      <c r="B4" s="67"/>
      <c r="C4" s="10">
        <f>IF(DAY(JanSun1)=1,JanSun1-6,JanSun1+1)</f>
        <v>40539</v>
      </c>
      <c r="D4" s="10">
        <f>IF(DAY(JanSun1)=1,JanSun1-5,JanSun1+2)</f>
        <v>40540</v>
      </c>
      <c r="E4" s="10">
        <f>IF(DAY(JanSun1)=1,JanSun1-4,JanSun1+3)</f>
        <v>40541</v>
      </c>
      <c r="F4" s="10">
        <f>IF(DAY(JanSun1)=1,JanSun1-3,JanSun1+4)</f>
        <v>40542</v>
      </c>
      <c r="G4" s="10">
        <f>IF(DAY(JanSun1)=1,JanSun1-2,JanSun1+5)</f>
        <v>40543</v>
      </c>
      <c r="H4" s="10">
        <f>IF(DAY(JanSun1)=1,JanSun1-1,JanSun1+6)</f>
        <v>40544</v>
      </c>
      <c r="I4" s="10">
        <f>IF(DAY(JanSun1)=1,JanSun1,JanSun1+7)</f>
        <v>40545</v>
      </c>
      <c r="J4" s="5"/>
      <c r="K4" s="44" t="s">
        <v>16</v>
      </c>
      <c r="L4" s="16">
        <v>3</v>
      </c>
      <c r="M4" s="45" t="s">
        <v>37</v>
      </c>
      <c r="N4" s="46"/>
    </row>
    <row r="5" spans="1:14" ht="18" customHeight="1" x14ac:dyDescent="0.2">
      <c r="A5" s="4"/>
      <c r="B5" s="67"/>
      <c r="C5" s="10">
        <f>IF(DAY(JanSun1)=1,JanSun1+1,JanSun1+8)</f>
        <v>40546</v>
      </c>
      <c r="D5" s="10">
        <f>IF(DAY(JanSun1)=1,JanSun1+2,JanSun1+9)</f>
        <v>40547</v>
      </c>
      <c r="E5" s="10">
        <f>IF(DAY(JanSun1)=1,JanSun1+3,JanSun1+10)</f>
        <v>40548</v>
      </c>
      <c r="F5" s="10">
        <f>IF(DAY(JanSun1)=1,JanSun1+4,JanSun1+11)</f>
        <v>40549</v>
      </c>
      <c r="G5" s="10">
        <f>IF(DAY(JanSun1)=1,JanSun1+5,JanSun1+12)</f>
        <v>40550</v>
      </c>
      <c r="H5" s="10">
        <f>IF(DAY(JanSun1)=1,JanSun1+6,JanSun1+13)</f>
        <v>40551</v>
      </c>
      <c r="I5" s="10">
        <f>IF(DAY(JanSun1)=1,JanSun1+7,JanSun1+14)</f>
        <v>40552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IF(DAY(JanSun1)=1,JanSun1+8,JanSun1+15)</f>
        <v>40553</v>
      </c>
      <c r="D6" s="10">
        <f>IF(DAY(JanSun1)=1,JanSun1+9,JanSun1+16)</f>
        <v>40554</v>
      </c>
      <c r="E6" s="10">
        <f>IF(DAY(JanSun1)=1,JanSun1+10,JanSun1+17)</f>
        <v>40555</v>
      </c>
      <c r="F6" s="10">
        <f>IF(DAY(JanSun1)=1,JanSun1+11,JanSun1+18)</f>
        <v>40556</v>
      </c>
      <c r="G6" s="10">
        <f>IF(DAY(JanSun1)=1,JanSun1+12,JanSun1+19)</f>
        <v>40557</v>
      </c>
      <c r="H6" s="10">
        <f>IF(DAY(JanSun1)=1,JanSun1+13,JanSun1+20)</f>
        <v>40558</v>
      </c>
      <c r="I6" s="10">
        <f>IF(DAY(JanSun1)=1,JanSun1+14,JanSun1+21)</f>
        <v>40559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IF(DAY(JanSun1)=1,JanSun1+15,JanSun1+22)</f>
        <v>40560</v>
      </c>
      <c r="D7" s="10">
        <f>IF(DAY(JanSun1)=1,JanSun1+16,JanSun1+23)</f>
        <v>40561</v>
      </c>
      <c r="E7" s="10">
        <f>IF(DAY(JanSun1)=1,JanSun1+17,JanSun1+24)</f>
        <v>40562</v>
      </c>
      <c r="F7" s="10">
        <f>IF(DAY(JanSun1)=1,JanSun1+18,JanSun1+25)</f>
        <v>40563</v>
      </c>
      <c r="G7" s="10">
        <f>IF(DAY(JanSun1)=1,JanSun1+19,JanSun1+26)</f>
        <v>40564</v>
      </c>
      <c r="H7" s="10">
        <f>IF(DAY(JanSun1)=1,JanSun1+20,JanSun1+27)</f>
        <v>40565</v>
      </c>
      <c r="I7" s="10">
        <f>IF(DAY(JanSun1)=1,JanSun1+21,JanSun1+28)</f>
        <v>40566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IF(DAY(JanSun1)=1,JanSun1+22,JanSun1+29)</f>
        <v>40567</v>
      </c>
      <c r="D8" s="10">
        <f>IF(DAY(JanSun1)=1,JanSun1+23,JanSun1+30)</f>
        <v>40568</v>
      </c>
      <c r="E8" s="10">
        <f>IF(DAY(JanSun1)=1,JanSun1+24,JanSun1+31)</f>
        <v>40569</v>
      </c>
      <c r="F8" s="10">
        <f>IF(DAY(JanSun1)=1,JanSun1+25,JanSun1+32)</f>
        <v>40570</v>
      </c>
      <c r="G8" s="10">
        <f>IF(DAY(JanSun1)=1,JanSun1+26,JanSun1+33)</f>
        <v>40571</v>
      </c>
      <c r="H8" s="10">
        <f>IF(DAY(JanSun1)=1,JanSun1+27,JanSun1+34)</f>
        <v>40572</v>
      </c>
      <c r="I8" s="10">
        <f>IF(DAY(JanSun1)=1,JanSun1+28,JanSun1+35)</f>
        <v>40573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IF(DAY(JanSun1)=1,JanSun1+29,JanSun1+36)</f>
        <v>40574</v>
      </c>
      <c r="D9" s="10">
        <f>IF(DAY(JanSun1)=1,JanSun1+30,JanSun1+37)</f>
        <v>40575</v>
      </c>
      <c r="E9" s="10">
        <f>IF(DAY(JanSun1)=1,JanSun1+31,JanSun1+38)</f>
        <v>40576</v>
      </c>
      <c r="F9" s="10">
        <f>IF(DAY(JanSun1)=1,JanSun1+32,JanSun1+39)</f>
        <v>40577</v>
      </c>
      <c r="G9" s="10">
        <f>IF(DAY(JanSun1)=1,JanSun1+33,JanSun1+40)</f>
        <v>40578</v>
      </c>
      <c r="H9" s="10">
        <f>IF(DAY(JanSun1)=1,JanSun1+34,JanSun1+41)</f>
        <v>40579</v>
      </c>
      <c r="I9" s="10">
        <f>IF(DAY(JanSun1)=1,JanSun1+35,JanSun1+42)</f>
        <v>40580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>
        <v>18</v>
      </c>
      <c r="M10" s="33" t="s">
        <v>36</v>
      </c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3">
    <mergeCell ref="B2:B10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VLOOKUP(DAY(C4),DíasDeTareas,1,FALSE)=DAY(C4)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/>
  <pageMargins left="0.5" right="0.5" top="0.5" bottom="0.5" header="0.3" footer="0.3"/>
  <pageSetup scale="6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 altText="Spinner control. Use spinner to change calendar year or type desired year in cell L2 ">
                <anchor moveWithCells="1">
                  <from>
                    <xdr:col>14</xdr:col>
                    <xdr:colOff>28575</xdr:colOff>
                    <xdr:row>1</xdr:row>
                    <xdr:rowOff>85725</xdr:rowOff>
                  </from>
                  <to>
                    <xdr:col>15</xdr:col>
                    <xdr:colOff>0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27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IF(DAY(OctDom1)=1,OctDom1-6,OctDom1+1)</f>
        <v>40812</v>
      </c>
      <c r="D4" s="10">
        <f>IF(DAY(OctDom1)=1,OctDom1-5,OctDom1+2)</f>
        <v>40813</v>
      </c>
      <c r="E4" s="10">
        <f>IF(DAY(OctDom1)=1,OctDom1-4,OctDom1+3)</f>
        <v>40814</v>
      </c>
      <c r="F4" s="10">
        <f>IF(DAY(OctDom1)=1,OctDom1-3,OctDom1+4)</f>
        <v>40815</v>
      </c>
      <c r="G4" s="10">
        <f>IF(DAY(OctDom1)=1,OctDom1-2,OctDom1+5)</f>
        <v>40816</v>
      </c>
      <c r="H4" s="10">
        <f>IF(DAY(OctDom1)=1,OctDom1-1,OctDom1+6)</f>
        <v>40817</v>
      </c>
      <c r="I4" s="10">
        <f>IF(DAY(OctDom1)=1,OctDom1,OctDom1+7)</f>
        <v>40818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IF(DAY(OctDom1)=1,OctDom1+1,OctDom1+8)</f>
        <v>40819</v>
      </c>
      <c r="D5" s="10">
        <f>IF(DAY(OctDom1)=1,OctDom1+2,OctDom1+9)</f>
        <v>40820</v>
      </c>
      <c r="E5" s="10">
        <f>IF(DAY(OctDom1)=1,OctDom1+3,OctDom1+10)</f>
        <v>40821</v>
      </c>
      <c r="F5" s="10">
        <f>IF(DAY(OctDom1)=1,OctDom1+4,OctDom1+11)</f>
        <v>40822</v>
      </c>
      <c r="G5" s="10">
        <f>IF(DAY(OctDom1)=1,OctDom1+5,OctDom1+12)</f>
        <v>40823</v>
      </c>
      <c r="H5" s="10">
        <f>IF(DAY(OctDom1)=1,OctDom1+6,OctDom1+13)</f>
        <v>40824</v>
      </c>
      <c r="I5" s="10">
        <f>IF(DAY(OctDom1)=1,OctDom1+7,OctDom1+14)</f>
        <v>40825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IF(DAY(OctDom1)=1,OctDom1+8,OctDom1+15)</f>
        <v>40826</v>
      </c>
      <c r="D6" s="10">
        <f>IF(DAY(OctDom1)=1,OctDom1+9,OctDom1+16)</f>
        <v>40827</v>
      </c>
      <c r="E6" s="10">
        <f>IF(DAY(OctDom1)=1,OctDom1+10,OctDom1+17)</f>
        <v>40828</v>
      </c>
      <c r="F6" s="10">
        <f>IF(DAY(OctDom1)=1,OctDom1+11,OctDom1+18)</f>
        <v>40829</v>
      </c>
      <c r="G6" s="10">
        <f>IF(DAY(OctDom1)=1,OctDom1+12,OctDom1+19)</f>
        <v>40830</v>
      </c>
      <c r="H6" s="10">
        <f>IF(DAY(OctDom1)=1,OctDom1+13,OctDom1+20)</f>
        <v>40831</v>
      </c>
      <c r="I6" s="10">
        <f>IF(DAY(OctDom1)=1,OctDom1+14,OctDom1+21)</f>
        <v>40832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IF(DAY(OctDom1)=1,OctDom1+15,OctDom1+22)</f>
        <v>40833</v>
      </c>
      <c r="D7" s="10">
        <f>IF(DAY(OctDom1)=1,OctDom1+16,OctDom1+23)</f>
        <v>40834</v>
      </c>
      <c r="E7" s="10">
        <f>IF(DAY(OctDom1)=1,OctDom1+17,OctDom1+24)</f>
        <v>40835</v>
      </c>
      <c r="F7" s="10">
        <f>IF(DAY(OctDom1)=1,OctDom1+18,OctDom1+25)</f>
        <v>40836</v>
      </c>
      <c r="G7" s="10">
        <f>IF(DAY(OctDom1)=1,OctDom1+19,OctDom1+26)</f>
        <v>40837</v>
      </c>
      <c r="H7" s="10">
        <f>IF(DAY(OctDom1)=1,OctDom1+20,OctDom1+27)</f>
        <v>40838</v>
      </c>
      <c r="I7" s="10">
        <f>IF(DAY(OctDom1)=1,OctDom1+21,OctDom1+28)</f>
        <v>40839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IF(DAY(OctDom1)=1,OctDom1+22,OctDom1+29)</f>
        <v>40840</v>
      </c>
      <c r="D8" s="10">
        <f>IF(DAY(OctDom1)=1,OctDom1+23,OctDom1+30)</f>
        <v>40841</v>
      </c>
      <c r="E8" s="10">
        <f>IF(DAY(OctDom1)=1,OctDom1+24,OctDom1+31)</f>
        <v>40842</v>
      </c>
      <c r="F8" s="10">
        <f>IF(DAY(OctDom1)=1,OctDom1+25,OctDom1+32)</f>
        <v>40843</v>
      </c>
      <c r="G8" s="10">
        <f>IF(DAY(OctDom1)=1,OctDom1+26,OctDom1+33)</f>
        <v>40844</v>
      </c>
      <c r="H8" s="10">
        <f>IF(DAY(OctDom1)=1,OctDom1+27,OctDom1+34)</f>
        <v>40845</v>
      </c>
      <c r="I8" s="10">
        <f>IF(DAY(OctDom1)=1,OctDom1+28,OctDom1+35)</f>
        <v>40846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IF(DAY(OctDom1)=1,OctDom1+29,OctDom1+36)</f>
        <v>40847</v>
      </c>
      <c r="D9" s="10">
        <f>IF(DAY(OctDom1)=1,OctDom1+30,OctDom1+37)</f>
        <v>40848</v>
      </c>
      <c r="E9" s="10">
        <f>IF(DAY(OctDom1)=1,OctDom1+31,OctDom1+38)</f>
        <v>40849</v>
      </c>
      <c r="F9" s="10">
        <f>IF(DAY(OctDom1)=1,OctDom1+32,OctDom1+39)</f>
        <v>40850</v>
      </c>
      <c r="G9" s="10">
        <f>IF(DAY(OctDom1)=1,OctDom1+33,OctDom1+40)</f>
        <v>40851</v>
      </c>
      <c r="H9" s="10">
        <f>IF(DAY(OctDom1)=1,OctDom1+34,OctDom1+41)</f>
        <v>40852</v>
      </c>
      <c r="I9" s="10">
        <f>IF(DAY(OctDom1)=1,OctDom1+35,OctDom1+42)</f>
        <v>40853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VLOOKUP(DAY(C4),DíasDeTareas,1,FALSE)=DAY(C4)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26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IF(DAY(NovDom1)=1,NovDom1-6,NovDom1+1)</f>
        <v>40847</v>
      </c>
      <c r="D4" s="10">
        <f>IF(DAY(NovDom1)=1,NovDom1-5,NovDom1+2)</f>
        <v>40848</v>
      </c>
      <c r="E4" s="10">
        <f>IF(DAY(NovDom1)=1,NovDom1-4,NovDom1+3)</f>
        <v>40849</v>
      </c>
      <c r="F4" s="10">
        <f>IF(DAY(NovDom1)=1,NovDom1-3,NovDom1+4)</f>
        <v>40850</v>
      </c>
      <c r="G4" s="10">
        <f>IF(DAY(NovDom1)=1,NovDom1-2,NovDom1+5)</f>
        <v>40851</v>
      </c>
      <c r="H4" s="10">
        <f>IF(DAY(NovDom1)=1,NovDom1-1,NovDom1+6)</f>
        <v>40852</v>
      </c>
      <c r="I4" s="10">
        <f>IF(DAY(NovDom1)=1,NovDom1,NovDom1+7)</f>
        <v>40853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IF(DAY(NovDom1)=1,NovDom1+1,NovDom1+8)</f>
        <v>40854</v>
      </c>
      <c r="D5" s="10">
        <f>IF(DAY(NovDom1)=1,NovDom1+2,NovDom1+9)</f>
        <v>40855</v>
      </c>
      <c r="E5" s="10">
        <f>IF(DAY(NovDom1)=1,NovDom1+3,NovDom1+10)</f>
        <v>40856</v>
      </c>
      <c r="F5" s="10">
        <f>IF(DAY(NovDom1)=1,NovDom1+4,NovDom1+11)</f>
        <v>40857</v>
      </c>
      <c r="G5" s="10">
        <f>IF(DAY(NovDom1)=1,NovDom1+5,NovDom1+12)</f>
        <v>40858</v>
      </c>
      <c r="H5" s="10">
        <f>IF(DAY(NovDom1)=1,NovDom1+6,NovDom1+13)</f>
        <v>40859</v>
      </c>
      <c r="I5" s="10">
        <f>IF(DAY(NovDom1)=1,NovDom1+7,NovDom1+14)</f>
        <v>40860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IF(DAY(NovDom1)=1,NovDom1+8,NovDom1+15)</f>
        <v>40861</v>
      </c>
      <c r="D6" s="10">
        <f>IF(DAY(NovDom1)=1,NovDom1+9,NovDom1+16)</f>
        <v>40862</v>
      </c>
      <c r="E6" s="10">
        <f>IF(DAY(NovDom1)=1,NovDom1+10,NovDom1+17)</f>
        <v>40863</v>
      </c>
      <c r="F6" s="10">
        <f>IF(DAY(NovDom1)=1,NovDom1+11,NovDom1+18)</f>
        <v>40864</v>
      </c>
      <c r="G6" s="10">
        <f>IF(DAY(NovDom1)=1,NovDom1+12,NovDom1+19)</f>
        <v>40865</v>
      </c>
      <c r="H6" s="10">
        <f>IF(DAY(NovDom1)=1,NovDom1+13,NovDom1+20)</f>
        <v>40866</v>
      </c>
      <c r="I6" s="10">
        <f>IF(DAY(NovDom1)=1,NovDom1+14,NovDom1+21)</f>
        <v>40867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IF(DAY(NovDom1)=1,NovDom1+15,NovDom1+22)</f>
        <v>40868</v>
      </c>
      <c r="D7" s="10">
        <f>IF(DAY(NovDom1)=1,NovDom1+16,NovDom1+23)</f>
        <v>40869</v>
      </c>
      <c r="E7" s="10">
        <f>IF(DAY(NovDom1)=1,NovDom1+17,NovDom1+24)</f>
        <v>40870</v>
      </c>
      <c r="F7" s="10">
        <f>IF(DAY(NovDom1)=1,NovDom1+18,NovDom1+25)</f>
        <v>40871</v>
      </c>
      <c r="G7" s="10">
        <f>IF(DAY(NovDom1)=1,NovDom1+19,NovDom1+26)</f>
        <v>40872</v>
      </c>
      <c r="H7" s="10">
        <f>IF(DAY(NovDom1)=1,NovDom1+20,NovDom1+27)</f>
        <v>40873</v>
      </c>
      <c r="I7" s="10">
        <f>IF(DAY(NovDom1)=1,NovDom1+21,NovDom1+28)</f>
        <v>40874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IF(DAY(NovDom1)=1,NovDom1+22,NovDom1+29)</f>
        <v>40875</v>
      </c>
      <c r="D8" s="10">
        <f>IF(DAY(NovDom1)=1,NovDom1+23,NovDom1+30)</f>
        <v>40876</v>
      </c>
      <c r="E8" s="10">
        <f>IF(DAY(NovDom1)=1,NovDom1+24,NovDom1+31)</f>
        <v>40877</v>
      </c>
      <c r="F8" s="10">
        <f>IF(DAY(NovDom1)=1,NovDom1+25,NovDom1+32)</f>
        <v>40878</v>
      </c>
      <c r="G8" s="10">
        <f>IF(DAY(NovDom1)=1,NovDom1+26,NovDom1+33)</f>
        <v>40879</v>
      </c>
      <c r="H8" s="10">
        <f>IF(DAY(NovDom1)=1,NovDom1+27,NovDom1+34)</f>
        <v>40880</v>
      </c>
      <c r="I8" s="10">
        <f>IF(DAY(NovDom1)=1,NovDom1+28,NovDom1+35)</f>
        <v>40881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IF(DAY(NovDom1)=1,NovDom1+29,NovDom1+36)</f>
        <v>40882</v>
      </c>
      <c r="D9" s="10">
        <f>IF(DAY(NovDom1)=1,NovDom1+30,NovDom1+37)</f>
        <v>40883</v>
      </c>
      <c r="E9" s="10">
        <f>IF(DAY(NovDom1)=1,NovDom1+31,NovDom1+38)</f>
        <v>40884</v>
      </c>
      <c r="F9" s="10">
        <f>IF(DAY(NovDom1)=1,NovDom1+32,NovDom1+39)</f>
        <v>40885</v>
      </c>
      <c r="G9" s="10">
        <f>IF(DAY(NovDom1)=1,NovDom1+33,NovDom1+40)</f>
        <v>40886</v>
      </c>
      <c r="H9" s="10">
        <f>IF(DAY(NovDom1)=1,NovDom1+34,NovDom1+41)</f>
        <v>40887</v>
      </c>
      <c r="I9" s="10">
        <f>IF(DAY(NovDom1)=1,NovDom1+35,NovDom1+42)</f>
        <v>40888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VLOOKUP(DAY(C4),DíasDeTareas,1,FALSE)=DAY(C4)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H9" sqref="H9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14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IF(DAY(DicDom1)=1,DicDom1-6,DicDom1+1)</f>
        <v>40875</v>
      </c>
      <c r="D4" s="10">
        <f>IF(DAY(DicDom1)=1,DicDom1-5,DicDom1+2)</f>
        <v>40876</v>
      </c>
      <c r="E4" s="10">
        <f>IF(DAY(DicDom1)=1,DicDom1-4,DicDom1+3)</f>
        <v>40877</v>
      </c>
      <c r="F4" s="10">
        <f>IF(DAY(DicDom1)=1,DicDom1-3,DicDom1+4)</f>
        <v>40878</v>
      </c>
      <c r="G4" s="10">
        <f>IF(DAY(DicDom1)=1,DicDom1-2,DicDom1+5)</f>
        <v>40879</v>
      </c>
      <c r="H4" s="10">
        <f>IF(DAY(DicDom1)=1,DicDom1-1,DicDom1+6)</f>
        <v>40880</v>
      </c>
      <c r="I4" s="10">
        <f>IF(DAY(DicDom1)=1,DicDom1,DicDom1+7)</f>
        <v>40881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IF(DAY(DicDom1)=1,DicDom1+1,DicDom1+8)</f>
        <v>40882</v>
      </c>
      <c r="D5" s="10">
        <f>IF(DAY(DicDom1)=1,DicDom1+2,DicDom1+9)</f>
        <v>40883</v>
      </c>
      <c r="E5" s="10">
        <f>IF(DAY(DicDom1)=1,DicDom1+3,DicDom1+10)</f>
        <v>40884</v>
      </c>
      <c r="F5" s="10">
        <f>IF(DAY(DicDom1)=1,DicDom1+4,DicDom1+11)</f>
        <v>40885</v>
      </c>
      <c r="G5" s="10">
        <f>IF(DAY(DicDom1)=1,DicDom1+5,DicDom1+12)</f>
        <v>40886</v>
      </c>
      <c r="H5" s="10">
        <f>IF(DAY(DicDom1)=1,DicDom1+6,DicDom1+13)</f>
        <v>40887</v>
      </c>
      <c r="I5" s="10">
        <f>IF(DAY(DicDom1)=1,DicDom1+7,DicDom1+14)</f>
        <v>40888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IF(DAY(DicDom1)=1,DicDom1+8,DicDom1+15)</f>
        <v>40889</v>
      </c>
      <c r="D6" s="10">
        <f>IF(DAY(DicDom1)=1,DicDom1+9,DicDom1+16)</f>
        <v>40890</v>
      </c>
      <c r="E6" s="10">
        <f>IF(DAY(DicDom1)=1,DicDom1+10,DicDom1+17)</f>
        <v>40891</v>
      </c>
      <c r="F6" s="10">
        <f>IF(DAY(DicDom1)=1,DicDom1+11,DicDom1+18)</f>
        <v>40892</v>
      </c>
      <c r="G6" s="10">
        <f>IF(DAY(DicDom1)=1,DicDom1+12,DicDom1+19)</f>
        <v>40893</v>
      </c>
      <c r="H6" s="10">
        <f>IF(DAY(DicDom1)=1,DicDom1+13,DicDom1+20)</f>
        <v>40894</v>
      </c>
      <c r="I6" s="10">
        <f>IF(DAY(DicDom1)=1,DicDom1+14,DicDom1+21)</f>
        <v>40895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IF(DAY(DicDom1)=1,DicDom1+15,DicDom1+22)</f>
        <v>40896</v>
      </c>
      <c r="D7" s="10">
        <f>IF(DAY(DicDom1)=1,DicDom1+16,DicDom1+23)</f>
        <v>40897</v>
      </c>
      <c r="E7" s="10">
        <f>IF(DAY(DicDom1)=1,DicDom1+17,DicDom1+24)</f>
        <v>40898</v>
      </c>
      <c r="F7" s="10">
        <f>IF(DAY(DicDom1)=1,DicDom1+18,DicDom1+25)</f>
        <v>40899</v>
      </c>
      <c r="G7" s="10">
        <f>IF(DAY(DicDom1)=1,DicDom1+19,DicDom1+26)</f>
        <v>40900</v>
      </c>
      <c r="H7" s="10">
        <f>IF(DAY(DicDom1)=1,DicDom1+20,DicDom1+27)</f>
        <v>40901</v>
      </c>
      <c r="I7" s="10">
        <f>IF(DAY(DicDom1)=1,DicDom1+21,DicDom1+28)</f>
        <v>40902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IF(DAY(DicDom1)=1,DicDom1+22,DicDom1+29)</f>
        <v>40903</v>
      </c>
      <c r="D8" s="10">
        <f>IF(DAY(DicDom1)=1,DicDom1+23,DicDom1+30)</f>
        <v>40904</v>
      </c>
      <c r="E8" s="10">
        <f>IF(DAY(DicDom1)=1,DicDom1+24,DicDom1+31)</f>
        <v>40905</v>
      </c>
      <c r="F8" s="10">
        <f>IF(DAY(DicDom1)=1,DicDom1+25,DicDom1+32)</f>
        <v>40906</v>
      </c>
      <c r="G8" s="10">
        <f>IF(DAY(DicDom1)=1,DicDom1+26,DicDom1+33)</f>
        <v>40907</v>
      </c>
      <c r="H8" s="10">
        <f>IF(DAY(DicDom1)=1,DicDom1+27,DicDom1+34)</f>
        <v>40908</v>
      </c>
      <c r="I8" s="10">
        <f>IF(DAY(DicDom1)=1,DicDom1+28,DicDom1+35)</f>
        <v>40909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IF(DAY(DicDom1)=1,DicDom1+29,DicDom1+36)</f>
        <v>40910</v>
      </c>
      <c r="D9" s="10">
        <f>IF(DAY(DicDom1)=1,DicDom1+30,DicDom1+37)</f>
        <v>40911</v>
      </c>
      <c r="E9" s="10">
        <f>IF(DAY(DicDom1)=1,DicDom1+31,DicDom1+38)</f>
        <v>40912</v>
      </c>
      <c r="F9" s="10">
        <f>IF(DAY(DicDom1)=1,DicDom1+32,DicDom1+39)</f>
        <v>40913</v>
      </c>
      <c r="G9" s="10">
        <f>IF(DAY(DicDom1)=1,DicDom1+33,DicDom1+40)</f>
        <v>40914</v>
      </c>
      <c r="H9" s="10">
        <f>IF(DAY(DicDom1)=1,DicDom1+34,DicDom1+41)</f>
        <v>40915</v>
      </c>
      <c r="I9" s="10">
        <f>IF(DAY(DicDom1)=1,DicDom1+35,DicDom1+42)</f>
        <v>40916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VLOOKUP(DAY(C4),DíasDeTareas,1,FALSE)=DAY(C4)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35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IF(DAY(FebDom1)=1,FebDom1-6,FebDom1+1)</f>
        <v>40574</v>
      </c>
      <c r="D4" s="10">
        <f>IF(DAY(FebDom1)=1,FebDom1-5,FebDom1+2)</f>
        <v>40575</v>
      </c>
      <c r="E4" s="10">
        <f>IF(DAY(FebDom1)=1,FebDom1-4,FebDom1+3)</f>
        <v>40576</v>
      </c>
      <c r="F4" s="10">
        <f>IF(DAY(FebDom1)=1,FebDom1-3,FebDom1+4)</f>
        <v>40577</v>
      </c>
      <c r="G4" s="10">
        <f>IF(DAY(FebDom1)=1,FebDom1-2,FebDom1+5)</f>
        <v>40578</v>
      </c>
      <c r="H4" s="10">
        <f>IF(DAY(FebDom1)=1,FebDom1-1,FebDom1+6)</f>
        <v>40579</v>
      </c>
      <c r="I4" s="10">
        <f>IF(DAY(FebDom1)=1,FebDom1,FebDom1+7)</f>
        <v>40580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IF(DAY(FebDom1)=1,FebDom1+1,FebDom1+8)</f>
        <v>40581</v>
      </c>
      <c r="D5" s="10">
        <f>IF(DAY(FebDom1)=1,FebDom1+2,FebDom1+9)</f>
        <v>40582</v>
      </c>
      <c r="E5" s="10">
        <f>IF(DAY(FebDom1)=1,FebDom1+3,FebDom1+10)</f>
        <v>40583</v>
      </c>
      <c r="F5" s="10">
        <f>IF(DAY(FebDom1)=1,FebDom1+4,FebDom1+11)</f>
        <v>40584</v>
      </c>
      <c r="G5" s="10">
        <f>IF(DAY(FebDom1)=1,FebDom1+5,FebDom1+12)</f>
        <v>40585</v>
      </c>
      <c r="H5" s="10">
        <f>IF(DAY(FebDom1)=1,FebDom1+6,FebDom1+13)</f>
        <v>40586</v>
      </c>
      <c r="I5" s="10">
        <f>IF(DAY(FebDom1)=1,FebDom1+7,FebDom1+14)</f>
        <v>40587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IF(DAY(FebDom1)=1,FebDom1+8,FebDom1+15)</f>
        <v>40588</v>
      </c>
      <c r="D6" s="10">
        <f>IF(DAY(FebDom1)=1,FebDom1+9,FebDom1+16)</f>
        <v>40589</v>
      </c>
      <c r="E6" s="10">
        <f>IF(DAY(FebDom1)=1,FebDom1+10,FebDom1+17)</f>
        <v>40590</v>
      </c>
      <c r="F6" s="10">
        <f>IF(DAY(FebDom1)=1,FebDom1+11,FebDom1+18)</f>
        <v>40591</v>
      </c>
      <c r="G6" s="10">
        <f>IF(DAY(FebDom1)=1,FebDom1+12,FebDom1+19)</f>
        <v>40592</v>
      </c>
      <c r="H6" s="10">
        <f>IF(DAY(FebDom1)=1,FebDom1+13,FebDom1+20)</f>
        <v>40593</v>
      </c>
      <c r="I6" s="10">
        <f>IF(DAY(FebDom1)=1,FebDom1+14,FebDom1+21)</f>
        <v>40594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IF(DAY(FebDom1)=1,FebDom1+15,FebDom1+22)</f>
        <v>40595</v>
      </c>
      <c r="D7" s="10">
        <f>IF(DAY(FebDom1)=1,FebDom1+16,FebDom1+23)</f>
        <v>40596</v>
      </c>
      <c r="E7" s="10">
        <f>IF(DAY(FebDom1)=1,FebDom1+17,FebDom1+24)</f>
        <v>40597</v>
      </c>
      <c r="F7" s="10">
        <f>IF(DAY(FebDom1)=1,FebDom1+18,FebDom1+25)</f>
        <v>40598</v>
      </c>
      <c r="G7" s="10">
        <f>IF(DAY(FebDom1)=1,FebDom1+19,FebDom1+26)</f>
        <v>40599</v>
      </c>
      <c r="H7" s="10">
        <f>IF(DAY(FebDom1)=1,FebDom1+20,FebDom1+27)</f>
        <v>40600</v>
      </c>
      <c r="I7" s="10">
        <f>IF(DAY(FebDom1)=1,FebDom1+21,FebDom1+28)</f>
        <v>40601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IF(DAY(FebDom1)=1,FebDom1+22,FebDom1+29)</f>
        <v>40602</v>
      </c>
      <c r="D8" s="10">
        <f>IF(DAY(FebDom1)=1,FebDom1+23,FebDom1+30)</f>
        <v>40603</v>
      </c>
      <c r="E8" s="10">
        <f>IF(DAY(FebDom1)=1,FebDom1+24,FebDom1+31)</f>
        <v>40604</v>
      </c>
      <c r="F8" s="10">
        <f>IF(DAY(FebDom1)=1,FebDom1+25,FebDom1+32)</f>
        <v>40605</v>
      </c>
      <c r="G8" s="10">
        <f>IF(DAY(FebDom1)=1,FebDom1+26,FebDom1+33)</f>
        <v>40606</v>
      </c>
      <c r="H8" s="10">
        <f>IF(DAY(FebDom1)=1,FebDom1+27,FebDom1+34)</f>
        <v>40607</v>
      </c>
      <c r="I8" s="10">
        <f>IF(DAY(FebDom1)=1,FebDom1+28,FebDom1+35)</f>
        <v>40608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IF(DAY(FebDom1)=1,FebDom1+29,FebDom1+36)</f>
        <v>40609</v>
      </c>
      <c r="D9" s="10">
        <f>IF(DAY(FebDom1)=1,FebDom1+30,FebDom1+37)</f>
        <v>40610</v>
      </c>
      <c r="E9" s="10">
        <f>IF(DAY(FebDom1)=1,FebDom1+31,FebDom1+38)</f>
        <v>40611</v>
      </c>
      <c r="F9" s="10">
        <f>IF(DAY(FebDom1)=1,FebDom1+32,FebDom1+39)</f>
        <v>40612</v>
      </c>
      <c r="G9" s="10">
        <f>IF(DAY(FebDom1)=1,FebDom1+33,FebDom1+40)</f>
        <v>40613</v>
      </c>
      <c r="H9" s="10">
        <f>IF(DAY(FebDom1)=1,FebDom1+34,FebDom1+41)</f>
        <v>40614</v>
      </c>
      <c r="I9" s="10">
        <f>IF(DAY(FebDom1)=1,FebDom1+35,FebDom1+42)</f>
        <v>40615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VLOOKUP(DAY(C4),DíasDeTareas,1,FALSE)=DAY(C4)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34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IF(DAY(MarDom1)=1,MarDom1-6,MarDom1+1)</f>
        <v>40602</v>
      </c>
      <c r="D4" s="10">
        <f>IF(DAY(MarDom1)=1,MarDom1-5,MarDom1+2)</f>
        <v>40603</v>
      </c>
      <c r="E4" s="10">
        <f>IF(DAY(MarDom1)=1,MarDom1-4,MarDom1+3)</f>
        <v>40604</v>
      </c>
      <c r="F4" s="10">
        <f>IF(DAY(MarDom1)=1,MarDom1-3,MarDom1+4)</f>
        <v>40605</v>
      </c>
      <c r="G4" s="10">
        <f>IF(DAY(MarDom1)=1,MarDom1-2,MarDom1+5)</f>
        <v>40606</v>
      </c>
      <c r="H4" s="10">
        <f>IF(DAY(MarDom1)=1,MarDom1-1,MarDom1+6)</f>
        <v>40607</v>
      </c>
      <c r="I4" s="10">
        <f>IF(DAY(MarDom1)=1,MarDom1,MarDom1+7)</f>
        <v>40608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IF(DAY(MarDom1)=1,MarDom1+1,MarDom1+8)</f>
        <v>40609</v>
      </c>
      <c r="D5" s="10">
        <f>IF(DAY(MarDom1)=1,MarDom1+2,MarDom1+9)</f>
        <v>40610</v>
      </c>
      <c r="E5" s="10">
        <f>IF(DAY(MarDom1)=1,MarDom1+3,MarDom1+10)</f>
        <v>40611</v>
      </c>
      <c r="F5" s="10">
        <f>IF(DAY(MarDom1)=1,MarDom1+4,MarDom1+11)</f>
        <v>40612</v>
      </c>
      <c r="G5" s="10">
        <f>IF(DAY(MarDom1)=1,MarDom1+5,MarDom1+12)</f>
        <v>40613</v>
      </c>
      <c r="H5" s="10">
        <f>IF(DAY(MarDom1)=1,MarDom1+6,MarDom1+13)</f>
        <v>40614</v>
      </c>
      <c r="I5" s="10">
        <f>IF(DAY(MarDom1)=1,MarDom1+7,MarDom1+14)</f>
        <v>40615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IF(DAY(MarDom1)=1,MarDom1+8,MarDom1+15)</f>
        <v>40616</v>
      </c>
      <c r="D6" s="10">
        <f>IF(DAY(MarDom1)=1,MarDom1+9,MarDom1+16)</f>
        <v>40617</v>
      </c>
      <c r="E6" s="10">
        <f>IF(DAY(MarDom1)=1,MarDom1+10,MarDom1+17)</f>
        <v>40618</v>
      </c>
      <c r="F6" s="10">
        <f>IF(DAY(MarDom1)=1,MarDom1+11,MarDom1+18)</f>
        <v>40619</v>
      </c>
      <c r="G6" s="10">
        <f>IF(DAY(MarDom1)=1,MarDom1+12,MarDom1+19)</f>
        <v>40620</v>
      </c>
      <c r="H6" s="10">
        <f>IF(DAY(MarDom1)=1,MarDom1+13,MarDom1+20)</f>
        <v>40621</v>
      </c>
      <c r="I6" s="10">
        <f>IF(DAY(MarDom1)=1,MarDom1+14,MarDom1+21)</f>
        <v>40622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IF(DAY(MarDom1)=1,MarDom1+15,MarDom1+22)</f>
        <v>40623</v>
      </c>
      <c r="D7" s="10">
        <f>IF(DAY(MarDom1)=1,MarDom1+16,MarDom1+23)</f>
        <v>40624</v>
      </c>
      <c r="E7" s="10">
        <f>IF(DAY(MarDom1)=1,MarDom1+17,MarDom1+24)</f>
        <v>40625</v>
      </c>
      <c r="F7" s="10">
        <f>IF(DAY(MarDom1)=1,MarDom1+18,MarDom1+25)</f>
        <v>40626</v>
      </c>
      <c r="G7" s="10">
        <f>IF(DAY(MarDom1)=1,MarDom1+19,MarDom1+26)</f>
        <v>40627</v>
      </c>
      <c r="H7" s="10">
        <f>IF(DAY(MarDom1)=1,MarDom1+20,MarDom1+27)</f>
        <v>40628</v>
      </c>
      <c r="I7" s="10">
        <f>IF(DAY(MarDom1)=1,MarDom1+21,MarDom1+28)</f>
        <v>40629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IF(DAY(MarDom1)=1,MarDom1+22,MarDom1+29)</f>
        <v>40630</v>
      </c>
      <c r="D8" s="10">
        <f>IF(DAY(MarDom1)=1,MarDom1+23,MarDom1+30)</f>
        <v>40631</v>
      </c>
      <c r="E8" s="10">
        <f>IF(DAY(MarDom1)=1,MarDom1+24,MarDom1+31)</f>
        <v>40632</v>
      </c>
      <c r="F8" s="10">
        <f>IF(DAY(MarDom1)=1,MarDom1+25,MarDom1+32)</f>
        <v>40633</v>
      </c>
      <c r="G8" s="10">
        <f>IF(DAY(MarDom1)=1,MarDom1+26,MarDom1+33)</f>
        <v>40634</v>
      </c>
      <c r="H8" s="10">
        <f>IF(DAY(MarDom1)=1,MarDom1+27,MarDom1+34)</f>
        <v>40635</v>
      </c>
      <c r="I8" s="10">
        <f>IF(DAY(MarDom1)=1,MarDom1+28,MarDom1+35)</f>
        <v>40636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IF(DAY(MarDom1)=1,MarDom1+29,MarDom1+36)</f>
        <v>40637</v>
      </c>
      <c r="D9" s="10">
        <f>IF(DAY(MarDom1)=1,MarDom1+30,MarDom1+37)</f>
        <v>40638</v>
      </c>
      <c r="E9" s="10">
        <f>IF(DAY(MarDom1)=1,MarDom1+31,MarDom1+38)</f>
        <v>40639</v>
      </c>
      <c r="F9" s="10">
        <f>IF(DAY(MarDom1)=1,MarDom1+32,MarDom1+39)</f>
        <v>40640</v>
      </c>
      <c r="G9" s="10">
        <f>IF(DAY(MarDom1)=1,MarDom1+33,MarDom1+40)</f>
        <v>40641</v>
      </c>
      <c r="H9" s="10">
        <f>IF(DAY(MarDom1)=1,MarDom1+34,MarDom1+41)</f>
        <v>40642</v>
      </c>
      <c r="I9" s="10">
        <f>IF(DAY(MarDom1)=1,MarDom1+35,MarDom1+42)</f>
        <v>40643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VLOOKUP(DAY(C4),DíasDeTareas,1,FALSE)=DAY(C4)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33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IF(DAY(AbrDom1)=1,AbrDom1-6,AbrDom1+1)</f>
        <v>40630</v>
      </c>
      <c r="D4" s="10">
        <f>IF(DAY(AbrDom1)=1,AbrDom1-5,AbrDom1+2)</f>
        <v>40631</v>
      </c>
      <c r="E4" s="10">
        <f>IF(DAY(AbrDom1)=1,AbrDom1-4,AbrDom1+3)</f>
        <v>40632</v>
      </c>
      <c r="F4" s="10">
        <f>IF(DAY(AbrDom1)=1,AbrDom1-3,AbrDom1+4)</f>
        <v>40633</v>
      </c>
      <c r="G4" s="10">
        <f>IF(DAY(AbrDom1)=1,AbrDom1-2,AbrDom1+5)</f>
        <v>40634</v>
      </c>
      <c r="H4" s="10">
        <f>IF(DAY(AbrDom1)=1,AbrDom1-1,AbrDom1+6)</f>
        <v>40635</v>
      </c>
      <c r="I4" s="10">
        <f>IF(DAY(AbrDom1)=1,AbrDom1,AbrDom1+7)</f>
        <v>40636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IF(DAY(AbrDom1)=1,AbrDom1+1,AbrDom1+8)</f>
        <v>40637</v>
      </c>
      <c r="D5" s="10">
        <f>IF(DAY(AbrDom1)=1,AbrDom1+2,AbrDom1+9)</f>
        <v>40638</v>
      </c>
      <c r="E5" s="10">
        <f>IF(DAY(AbrDom1)=1,AbrDom1+3,AbrDom1+10)</f>
        <v>40639</v>
      </c>
      <c r="F5" s="10">
        <f>IF(DAY(AbrDom1)=1,AbrDom1+4,AbrDom1+11)</f>
        <v>40640</v>
      </c>
      <c r="G5" s="10">
        <f>IF(DAY(AbrDom1)=1,AbrDom1+5,AbrDom1+12)</f>
        <v>40641</v>
      </c>
      <c r="H5" s="10">
        <f>IF(DAY(AbrDom1)=1,AbrDom1+6,AbrDom1+13)</f>
        <v>40642</v>
      </c>
      <c r="I5" s="10">
        <f>IF(DAY(AbrDom1)=1,AbrDom1+7,AbrDom1+14)</f>
        <v>40643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IF(DAY(AbrDom1)=1,AbrDom1+8,AbrDom1+15)</f>
        <v>40644</v>
      </c>
      <c r="D6" s="10">
        <f>IF(DAY(AbrDom1)=1,AbrDom1+9,AbrDom1+16)</f>
        <v>40645</v>
      </c>
      <c r="E6" s="10">
        <f>IF(DAY(AbrDom1)=1,AbrDom1+10,AbrDom1+17)</f>
        <v>40646</v>
      </c>
      <c r="F6" s="10">
        <f>IF(DAY(AbrDom1)=1,AbrDom1+11,AbrDom1+18)</f>
        <v>40647</v>
      </c>
      <c r="G6" s="10">
        <f>IF(DAY(AbrDom1)=1,AbrDom1+12,AbrDom1+19)</f>
        <v>40648</v>
      </c>
      <c r="H6" s="10">
        <f>IF(DAY(AbrDom1)=1,AbrDom1+13,AbrDom1+20)</f>
        <v>40649</v>
      </c>
      <c r="I6" s="10">
        <f>IF(DAY(AbrDom1)=1,AbrDom1+14,AbrDom1+21)</f>
        <v>40650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IF(DAY(AbrDom1)=1,AbrDom1+15,AbrDom1+22)</f>
        <v>40651</v>
      </c>
      <c r="D7" s="10">
        <f>IF(DAY(AbrDom1)=1,AbrDom1+16,AbrDom1+23)</f>
        <v>40652</v>
      </c>
      <c r="E7" s="10">
        <f>IF(DAY(AbrDom1)=1,AbrDom1+17,AbrDom1+24)</f>
        <v>40653</v>
      </c>
      <c r="F7" s="10">
        <f>IF(DAY(AbrDom1)=1,AbrDom1+18,AbrDom1+25)</f>
        <v>40654</v>
      </c>
      <c r="G7" s="10">
        <f>IF(DAY(AbrDom1)=1,AbrDom1+19,AbrDom1+26)</f>
        <v>40655</v>
      </c>
      <c r="H7" s="10">
        <f>IF(DAY(AbrDom1)=1,AbrDom1+20,AbrDom1+27)</f>
        <v>40656</v>
      </c>
      <c r="I7" s="10">
        <f>IF(DAY(AbrDom1)=1,AbrDom1+21,AbrDom1+28)</f>
        <v>40657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IF(DAY(AbrDom1)=1,AbrDom1+22,AbrDom1+29)</f>
        <v>40658</v>
      </c>
      <c r="D8" s="10">
        <f>IF(DAY(AbrDom1)=1,AbrDom1+23,AbrDom1+30)</f>
        <v>40659</v>
      </c>
      <c r="E8" s="10">
        <f>IF(DAY(AbrDom1)=1,AbrDom1+24,AbrDom1+31)</f>
        <v>40660</v>
      </c>
      <c r="F8" s="10">
        <f>IF(DAY(AbrDom1)=1,AbrDom1+25,AbrDom1+32)</f>
        <v>40661</v>
      </c>
      <c r="G8" s="10">
        <f>IF(DAY(AbrDom1)=1,AbrDom1+26,AbrDom1+33)</f>
        <v>40662</v>
      </c>
      <c r="H8" s="10">
        <f>IF(DAY(AbrDom1)=1,AbrDom1+27,AbrDom1+34)</f>
        <v>40663</v>
      </c>
      <c r="I8" s="10">
        <f>IF(DAY(AbrDom1)=1,AbrDom1+28,AbrDom1+35)</f>
        <v>40664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IF(DAY(AbrDom1)=1,AbrDom1+29,AbrDom1+36)</f>
        <v>40665</v>
      </c>
      <c r="D9" s="10">
        <f>IF(DAY(AbrDom1)=1,AbrDom1+30,AbrDom1+37)</f>
        <v>40666</v>
      </c>
      <c r="E9" s="10">
        <f>IF(DAY(AbrDom1)=1,AbrDom1+31,AbrDom1+38)</f>
        <v>40667</v>
      </c>
      <c r="F9" s="10">
        <f>IF(DAY(AbrDom1)=1,AbrDom1+32,AbrDom1+39)</f>
        <v>40668</v>
      </c>
      <c r="G9" s="10">
        <f>IF(DAY(AbrDom1)=1,AbrDom1+33,AbrDom1+40)</f>
        <v>40669</v>
      </c>
      <c r="H9" s="10">
        <f>IF(DAY(AbrDom1)=1,AbrDom1+34,AbrDom1+41)</f>
        <v>40670</v>
      </c>
      <c r="I9" s="10">
        <f>IF(DAY(AbrDom1)=1,AbrDom1+35,AbrDom1+42)</f>
        <v>40671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VLOOKUP(DAY(C4),DíasDeTareas,1,FALSE)=DAY(C4)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32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IF(DAY(MayDom1)=1,MayDom1-6,MayDom1+1)</f>
        <v>40658</v>
      </c>
      <c r="D4" s="10">
        <f>IF(DAY(MayDom1)=1,MayDom1-5,MayDom1+2)</f>
        <v>40659</v>
      </c>
      <c r="E4" s="10">
        <f>IF(DAY(MayDom1)=1,MayDom1-4,MayDom1+3)</f>
        <v>40660</v>
      </c>
      <c r="F4" s="10">
        <f>IF(DAY(MayDom1)=1,MayDom1-3,MayDom1+4)</f>
        <v>40661</v>
      </c>
      <c r="G4" s="10">
        <f>IF(DAY(MayDom1)=1,MayDom1-2,MayDom1+5)</f>
        <v>40662</v>
      </c>
      <c r="H4" s="10">
        <f>IF(DAY(MayDom1)=1,MayDom1-1,MayDom1+6)</f>
        <v>40663</v>
      </c>
      <c r="I4" s="10">
        <f>IF(DAY(MayDom1)=1,MayDom1,MayDom1+7)</f>
        <v>40664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IF(DAY(MayDom1)=1,MayDom1+1,MayDom1+8)</f>
        <v>40665</v>
      </c>
      <c r="D5" s="10">
        <f>IF(DAY(MayDom1)=1,MayDom1+2,MayDom1+9)</f>
        <v>40666</v>
      </c>
      <c r="E5" s="10">
        <f>IF(DAY(MayDom1)=1,MayDom1+3,MayDom1+10)</f>
        <v>40667</v>
      </c>
      <c r="F5" s="10">
        <f>IF(DAY(MayDom1)=1,MayDom1+4,MayDom1+11)</f>
        <v>40668</v>
      </c>
      <c r="G5" s="10">
        <f>IF(DAY(MayDom1)=1,MayDom1+5,MayDom1+12)</f>
        <v>40669</v>
      </c>
      <c r="H5" s="10">
        <f>IF(DAY(MayDom1)=1,MayDom1+6,MayDom1+13)</f>
        <v>40670</v>
      </c>
      <c r="I5" s="10">
        <f>IF(DAY(MayDom1)=1,MayDom1+7,MayDom1+14)</f>
        <v>40671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IF(DAY(MayDom1)=1,MayDom1+8,MayDom1+15)</f>
        <v>40672</v>
      </c>
      <c r="D6" s="10">
        <f>IF(DAY(MayDom1)=1,MayDom1+9,MayDom1+16)</f>
        <v>40673</v>
      </c>
      <c r="E6" s="10">
        <f>IF(DAY(MayDom1)=1,MayDom1+10,MayDom1+17)</f>
        <v>40674</v>
      </c>
      <c r="F6" s="10">
        <f>IF(DAY(MayDom1)=1,MayDom1+11,MayDom1+18)</f>
        <v>40675</v>
      </c>
      <c r="G6" s="10">
        <f>IF(DAY(MayDom1)=1,MayDom1+12,MayDom1+19)</f>
        <v>40676</v>
      </c>
      <c r="H6" s="10">
        <f>IF(DAY(MayDom1)=1,MayDom1+13,MayDom1+20)</f>
        <v>40677</v>
      </c>
      <c r="I6" s="10">
        <f>IF(DAY(MayDom1)=1,MayDom1+14,MayDom1+21)</f>
        <v>40678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IF(DAY(MayDom1)=1,MayDom1+15,MayDom1+22)</f>
        <v>40679</v>
      </c>
      <c r="D7" s="10">
        <f>IF(DAY(MayDom1)=1,MayDom1+16,MayDom1+23)</f>
        <v>40680</v>
      </c>
      <c r="E7" s="10">
        <f>IF(DAY(MayDom1)=1,MayDom1+17,MayDom1+24)</f>
        <v>40681</v>
      </c>
      <c r="F7" s="10">
        <f>IF(DAY(MayDom1)=1,MayDom1+18,MayDom1+25)</f>
        <v>40682</v>
      </c>
      <c r="G7" s="10">
        <f>IF(DAY(MayDom1)=1,MayDom1+19,MayDom1+26)</f>
        <v>40683</v>
      </c>
      <c r="H7" s="10">
        <f>IF(DAY(MayDom1)=1,MayDom1+20,MayDom1+27)</f>
        <v>40684</v>
      </c>
      <c r="I7" s="10">
        <f>IF(DAY(MayDom1)=1,MayDom1+21,MayDom1+28)</f>
        <v>40685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IF(DAY(MayDom1)=1,MayDom1+22,MayDom1+29)</f>
        <v>40686</v>
      </c>
      <c r="D8" s="10">
        <f>IF(DAY(MayDom1)=1,MayDom1+23,MayDom1+30)</f>
        <v>40687</v>
      </c>
      <c r="E8" s="10">
        <f>IF(DAY(MayDom1)=1,MayDom1+24,MayDom1+31)</f>
        <v>40688</v>
      </c>
      <c r="F8" s="10">
        <f>IF(DAY(MayDom1)=1,MayDom1+25,MayDom1+32)</f>
        <v>40689</v>
      </c>
      <c r="G8" s="10">
        <f>IF(DAY(MayDom1)=1,MayDom1+26,MayDom1+33)</f>
        <v>40690</v>
      </c>
      <c r="H8" s="10">
        <f>IF(DAY(MayDom1)=1,MayDom1+27,MayDom1+34)</f>
        <v>40691</v>
      </c>
      <c r="I8" s="10">
        <f>IF(DAY(MayDom1)=1,MayDom1+28,MayDom1+35)</f>
        <v>40692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IF(DAY(MayDom1)=1,MayDom1+29,MayDom1+36)</f>
        <v>40693</v>
      </c>
      <c r="D9" s="10">
        <f>IF(DAY(MayDom1)=1,MayDom1+30,MayDom1+37)</f>
        <v>40694</v>
      </c>
      <c r="E9" s="10">
        <f>IF(DAY(MayDom1)=1,MayDom1+31,MayDom1+38)</f>
        <v>40695</v>
      </c>
      <c r="F9" s="10">
        <f>IF(DAY(MayDom1)=1,MayDom1+32,MayDom1+39)</f>
        <v>40696</v>
      </c>
      <c r="G9" s="10">
        <f>IF(DAY(MayDom1)=1,MayDom1+33,MayDom1+40)</f>
        <v>40697</v>
      </c>
      <c r="H9" s="10">
        <f>IF(DAY(MayDom1)=1,MayDom1+34,MayDom1+41)</f>
        <v>40698</v>
      </c>
      <c r="I9" s="10">
        <f>IF(DAY(MayDom1)=1,MayDom1+35,MayDom1+42)</f>
        <v>40699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VLOOKUP(DAY(C4),DíasDeTareas,1,FALSE)=DAY(C4)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31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IF(DAY(JunDom1)=1,JunDom1-6,JunDom1+1)</f>
        <v>40693</v>
      </c>
      <c r="D4" s="10">
        <f>IF(DAY(JunDom1)=1,JunDom1-5,JunDom1+2)</f>
        <v>40694</v>
      </c>
      <c r="E4" s="10">
        <f>IF(DAY(JunDom1)=1,JunDom1-4,JunDom1+3)</f>
        <v>40695</v>
      </c>
      <c r="F4" s="10">
        <f>IF(DAY(JunDom1)=1,JunDom1-3,JunDom1+4)</f>
        <v>40696</v>
      </c>
      <c r="G4" s="10">
        <f>IF(DAY(JunDom1)=1,JunDom1-2,JunDom1+5)</f>
        <v>40697</v>
      </c>
      <c r="H4" s="10">
        <f>IF(DAY(JunDom1)=1,JunDom1-1,JunDom1+6)</f>
        <v>40698</v>
      </c>
      <c r="I4" s="10">
        <f>IF(DAY(JunDom1)=1,JunDom1,JunDom1+7)</f>
        <v>40699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IF(DAY(JunDom1)=1,JunDom1+1,JunDom1+8)</f>
        <v>40700</v>
      </c>
      <c r="D5" s="10">
        <f>IF(DAY(JunDom1)=1,JunDom1+2,JunDom1+9)</f>
        <v>40701</v>
      </c>
      <c r="E5" s="10">
        <f>IF(DAY(JunDom1)=1,JunDom1+3,JunDom1+10)</f>
        <v>40702</v>
      </c>
      <c r="F5" s="10">
        <f>IF(DAY(JunDom1)=1,JunDom1+4,JunDom1+11)</f>
        <v>40703</v>
      </c>
      <c r="G5" s="10">
        <f>IF(DAY(JunDom1)=1,JunDom1+5,JunDom1+12)</f>
        <v>40704</v>
      </c>
      <c r="H5" s="10">
        <f>IF(DAY(JunDom1)=1,JunDom1+6,JunDom1+13)</f>
        <v>40705</v>
      </c>
      <c r="I5" s="10">
        <f>IF(DAY(JunDom1)=1,JunDom1+7,JunDom1+14)</f>
        <v>40706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IF(DAY(JunDom1)=1,JunDom1+8,JunDom1+15)</f>
        <v>40707</v>
      </c>
      <c r="D6" s="10">
        <f>IF(DAY(JunDom1)=1,JunDom1+9,JunDom1+16)</f>
        <v>40708</v>
      </c>
      <c r="E6" s="10">
        <f>IF(DAY(JunDom1)=1,JunDom1+10,JunDom1+17)</f>
        <v>40709</v>
      </c>
      <c r="F6" s="10">
        <f>IF(DAY(JunDom1)=1,JunDom1+11,JunDom1+18)</f>
        <v>40710</v>
      </c>
      <c r="G6" s="10">
        <f>IF(DAY(JunDom1)=1,JunDom1+12,JunDom1+19)</f>
        <v>40711</v>
      </c>
      <c r="H6" s="10">
        <f>IF(DAY(JunDom1)=1,JunDom1+13,JunDom1+20)</f>
        <v>40712</v>
      </c>
      <c r="I6" s="10">
        <f>IF(DAY(JunDom1)=1,JunDom1+14,JunDom1+21)</f>
        <v>40713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IF(DAY(JunDom1)=1,JunDom1+15,JunDom1+22)</f>
        <v>40714</v>
      </c>
      <c r="D7" s="10">
        <f>IF(DAY(JunDom1)=1,JunDom1+16,JunDom1+23)</f>
        <v>40715</v>
      </c>
      <c r="E7" s="10">
        <f>IF(DAY(JunDom1)=1,JunDom1+17,JunDom1+24)</f>
        <v>40716</v>
      </c>
      <c r="F7" s="10">
        <f>IF(DAY(JunDom1)=1,JunDom1+18,JunDom1+25)</f>
        <v>40717</v>
      </c>
      <c r="G7" s="10">
        <f>IF(DAY(JunDom1)=1,JunDom1+19,JunDom1+26)</f>
        <v>40718</v>
      </c>
      <c r="H7" s="10">
        <f>IF(DAY(JunDom1)=1,JunDom1+20,JunDom1+27)</f>
        <v>40719</v>
      </c>
      <c r="I7" s="10">
        <f>IF(DAY(JunDom1)=1,JunDom1+21,JunDom1+28)</f>
        <v>40720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IF(DAY(JunDom1)=1,JunDom1+22,JunDom1+29)</f>
        <v>40721</v>
      </c>
      <c r="D8" s="10">
        <f>IF(DAY(JunDom1)=1,JunDom1+23,JunDom1+30)</f>
        <v>40722</v>
      </c>
      <c r="E8" s="10">
        <f>IF(DAY(JunDom1)=1,JunDom1+24,JunDom1+31)</f>
        <v>40723</v>
      </c>
      <c r="F8" s="10">
        <f>IF(DAY(JunDom1)=1,JunDom1+25,JunDom1+32)</f>
        <v>40724</v>
      </c>
      <c r="G8" s="10">
        <f>IF(DAY(JunDom1)=1,JunDom1+26,JunDom1+33)</f>
        <v>40725</v>
      </c>
      <c r="H8" s="10">
        <f>IF(DAY(JunDom1)=1,JunDom1+27,JunDom1+34)</f>
        <v>40726</v>
      </c>
      <c r="I8" s="10">
        <f>IF(DAY(JunDom1)=1,JunDom1+28,JunDom1+35)</f>
        <v>40727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IF(DAY(JunDom1)=1,JunDom1+29,JunDom1+36)</f>
        <v>40728</v>
      </c>
      <c r="D9" s="10">
        <f>IF(DAY(JunDom1)=1,JunDom1+30,JunDom1+37)</f>
        <v>40729</v>
      </c>
      <c r="E9" s="10">
        <f>IF(DAY(JunDom1)=1,JunDom1+31,JunDom1+38)</f>
        <v>40730</v>
      </c>
      <c r="F9" s="10">
        <f>IF(DAY(JunDom1)=1,JunDom1+32,JunDom1+39)</f>
        <v>40731</v>
      </c>
      <c r="G9" s="10">
        <f>IF(DAY(JunDom1)=1,JunDom1+33,JunDom1+40)</f>
        <v>40732</v>
      </c>
      <c r="H9" s="10">
        <f>IF(DAY(JunDom1)=1,JunDom1+34,JunDom1+41)</f>
        <v>40733</v>
      </c>
      <c r="I9" s="10">
        <f>IF(DAY(JunDom1)=1,JunDom1+35,JunDom1+42)</f>
        <v>40734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VLOOKUP(DAY(C4),DíasDeTareas,1,FALSE)=DAY(C4)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30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IF(DAY(JulDom1)=1,JulDom1-6,JulDom1+1)</f>
        <v>40721</v>
      </c>
      <c r="D4" s="10">
        <f>IF(DAY(JulDom1)=1,JulDom1-5,JulDom1+2)</f>
        <v>40722</v>
      </c>
      <c r="E4" s="10">
        <f>IF(DAY(JulDom1)=1,JulDom1-4,JulDom1+3)</f>
        <v>40723</v>
      </c>
      <c r="F4" s="10">
        <f>IF(DAY(JulDom1)=1,JulDom1-3,JulDom1+4)</f>
        <v>40724</v>
      </c>
      <c r="G4" s="10">
        <f>IF(DAY(JulDom1)=1,JulDom1-2,JulDom1+5)</f>
        <v>40725</v>
      </c>
      <c r="H4" s="10">
        <f>IF(DAY(JulDom1)=1,JulDom1-1,JulDom1+6)</f>
        <v>40726</v>
      </c>
      <c r="I4" s="10">
        <f>IF(DAY(JulDom1)=1,JulDom1,JulDom1+7)</f>
        <v>40727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IF(DAY(JulDom1)=1,JulDom1+1,JulDom1+8)</f>
        <v>40728</v>
      </c>
      <c r="D5" s="10">
        <f>IF(DAY(JulDom1)=1,JulDom1+2,JulDom1+9)</f>
        <v>40729</v>
      </c>
      <c r="E5" s="10">
        <f>IF(DAY(JulDom1)=1,JulDom1+3,JulDom1+10)</f>
        <v>40730</v>
      </c>
      <c r="F5" s="10">
        <f>IF(DAY(JulDom1)=1,JulDom1+4,JulDom1+11)</f>
        <v>40731</v>
      </c>
      <c r="G5" s="10">
        <f>IF(DAY(JulDom1)=1,JulDom1+5,JulDom1+12)</f>
        <v>40732</v>
      </c>
      <c r="H5" s="10">
        <f>IF(DAY(JulDom1)=1,JulDom1+6,JulDom1+13)</f>
        <v>40733</v>
      </c>
      <c r="I5" s="10">
        <f>IF(DAY(JulDom1)=1,JulDom1+7,JulDom1+14)</f>
        <v>40734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IF(DAY(JulDom1)=1,JulDom1+8,JulDom1+15)</f>
        <v>40735</v>
      </c>
      <c r="D6" s="10">
        <f>IF(DAY(JulDom1)=1,JulDom1+9,JulDom1+16)</f>
        <v>40736</v>
      </c>
      <c r="E6" s="10">
        <f>IF(DAY(JulDom1)=1,JulDom1+10,JulDom1+17)</f>
        <v>40737</v>
      </c>
      <c r="F6" s="10">
        <f>IF(DAY(JulDom1)=1,JulDom1+11,JulDom1+18)</f>
        <v>40738</v>
      </c>
      <c r="G6" s="10">
        <f>IF(DAY(JulDom1)=1,JulDom1+12,JulDom1+19)</f>
        <v>40739</v>
      </c>
      <c r="H6" s="10">
        <f>IF(DAY(JulDom1)=1,JulDom1+13,JulDom1+20)</f>
        <v>40740</v>
      </c>
      <c r="I6" s="10">
        <f>IF(DAY(JulDom1)=1,JulDom1+14,JulDom1+21)</f>
        <v>40741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IF(DAY(JulDom1)=1,JulDom1+15,JulDom1+22)</f>
        <v>40742</v>
      </c>
      <c r="D7" s="10">
        <f>IF(DAY(JulDom1)=1,JulDom1+16,JulDom1+23)</f>
        <v>40743</v>
      </c>
      <c r="E7" s="10">
        <f>IF(DAY(JulDom1)=1,JulDom1+17,JulDom1+24)</f>
        <v>40744</v>
      </c>
      <c r="F7" s="10">
        <f>IF(DAY(JulDom1)=1,JulDom1+18,JulDom1+25)</f>
        <v>40745</v>
      </c>
      <c r="G7" s="10">
        <f>IF(DAY(JulDom1)=1,JulDom1+19,JulDom1+26)</f>
        <v>40746</v>
      </c>
      <c r="H7" s="10">
        <f>IF(DAY(JulDom1)=1,JulDom1+20,JulDom1+27)</f>
        <v>40747</v>
      </c>
      <c r="I7" s="10">
        <f>IF(DAY(JulDom1)=1,JulDom1+21,JulDom1+28)</f>
        <v>40748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IF(DAY(JulDom1)=1,JulDom1+22,JulDom1+29)</f>
        <v>40749</v>
      </c>
      <c r="D8" s="10">
        <f>IF(DAY(JulDom1)=1,JulDom1+23,JulDom1+30)</f>
        <v>40750</v>
      </c>
      <c r="E8" s="10">
        <f>IF(DAY(JulDom1)=1,JulDom1+24,JulDom1+31)</f>
        <v>40751</v>
      </c>
      <c r="F8" s="10">
        <f>IF(DAY(JulDom1)=1,JulDom1+25,JulDom1+32)</f>
        <v>40752</v>
      </c>
      <c r="G8" s="10">
        <f>IF(DAY(JulDom1)=1,JulDom1+26,JulDom1+33)</f>
        <v>40753</v>
      </c>
      <c r="H8" s="10">
        <f>IF(DAY(JulDom1)=1,JulDom1+27,JulDom1+34)</f>
        <v>40754</v>
      </c>
      <c r="I8" s="10">
        <f>IF(DAY(JulDom1)=1,JulDom1+28,JulDom1+35)</f>
        <v>40755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IF(DAY(JulDom1)=1,JulDom1+29,JulDom1+36)</f>
        <v>40756</v>
      </c>
      <c r="D9" s="10">
        <f>IF(DAY(JulDom1)=1,JulDom1+30,JulDom1+37)</f>
        <v>40757</v>
      </c>
      <c r="E9" s="10">
        <f>IF(DAY(JulDom1)=1,JulDom1+31,JulDom1+38)</f>
        <v>40758</v>
      </c>
      <c r="F9" s="10">
        <f>IF(DAY(JulDom1)=1,JulDom1+32,JulDom1+39)</f>
        <v>40759</v>
      </c>
      <c r="G9" s="10">
        <f>IF(DAY(JulDom1)=1,JulDom1+33,JulDom1+40)</f>
        <v>40760</v>
      </c>
      <c r="H9" s="10">
        <f>IF(DAY(JulDom1)=1,JulDom1+34,JulDom1+41)</f>
        <v>40761</v>
      </c>
      <c r="I9" s="10">
        <f>IF(DAY(JulDom1)=1,JulDom1+35,JulDom1+42)</f>
        <v>40762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VLOOKUP(DAY(C4),DíasDeTareas,1,FALSE)=DAY(C4)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F4" sqref="F4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>
      <c r="A1" s="2"/>
      <c r="B1" s="2"/>
      <c r="C1" s="2"/>
      <c r="D1" s="2"/>
      <c r="E1" s="2"/>
      <c r="F1" s="2"/>
      <c r="G1" s="2"/>
    </row>
    <row r="2" spans="1:14" ht="18" customHeight="1" x14ac:dyDescent="0.2">
      <c r="A2" s="4"/>
      <c r="B2" s="66" t="s">
        <v>29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IF(DAY(AgoDom1)=1,AgoDom1-6,AgoDom1+1)</f>
        <v>40756</v>
      </c>
      <c r="D4" s="10">
        <f>IF(DAY(AgoDom1)=1,AgoDom1-5,AgoDom1+2)</f>
        <v>40757</v>
      </c>
      <c r="E4" s="10">
        <f>IF(DAY(AgoDom1)=1,AgoDom1-4,AgoDom1+3)</f>
        <v>40758</v>
      </c>
      <c r="F4" s="10">
        <f>IF(DAY(AgoDom1)=1,AgoDom1-3,AgoDom1+4)</f>
        <v>40759</v>
      </c>
      <c r="G4" s="10">
        <f>IF(DAY(AgoDom1)=1,AgoDom1-2,AgoDom1+5)</f>
        <v>40760</v>
      </c>
      <c r="H4" s="10">
        <f>IF(DAY(AgoDom1)=1,AgoDom1-1,AgoDom1+6)</f>
        <v>40761</v>
      </c>
      <c r="I4" s="10">
        <f>IF(DAY(AgoDom1)=1,AgoDom1,AgoDom1+7)</f>
        <v>40762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IF(DAY(AgoDom1)=1,AgoDom1+1,AgoDom1+8)</f>
        <v>40763</v>
      </c>
      <c r="D5" s="10">
        <f>IF(DAY(AgoDom1)=1,AgoDom1+2,AgoDom1+9)</f>
        <v>40764</v>
      </c>
      <c r="E5" s="10">
        <f>IF(DAY(AgoDom1)=1,AgoDom1+3,AgoDom1+10)</f>
        <v>40765</v>
      </c>
      <c r="F5" s="10">
        <f>IF(DAY(AgoDom1)=1,AgoDom1+4,AgoDom1+11)</f>
        <v>40766</v>
      </c>
      <c r="G5" s="10">
        <f>IF(DAY(AgoDom1)=1,AgoDom1+5,AgoDom1+12)</f>
        <v>40767</v>
      </c>
      <c r="H5" s="10">
        <f>IF(DAY(AgoDom1)=1,AgoDom1+6,AgoDom1+13)</f>
        <v>40768</v>
      </c>
      <c r="I5" s="10">
        <f>IF(DAY(AgoDom1)=1,AgoDom1+7,AgoDom1+14)</f>
        <v>40769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IF(DAY(AgoDom1)=1,AgoDom1+8,AgoDom1+15)</f>
        <v>40770</v>
      </c>
      <c r="D6" s="10">
        <f>IF(DAY(AgoDom1)=1,AgoDom1+9,AgoDom1+16)</f>
        <v>40771</v>
      </c>
      <c r="E6" s="10">
        <f>IF(DAY(AgoDom1)=1,AgoDom1+10,AgoDom1+17)</f>
        <v>40772</v>
      </c>
      <c r="F6" s="10">
        <f>IF(DAY(AgoDom1)=1,AgoDom1+11,AgoDom1+18)</f>
        <v>40773</v>
      </c>
      <c r="G6" s="10">
        <f>IF(DAY(AgoDom1)=1,AgoDom1+12,AgoDom1+19)</f>
        <v>40774</v>
      </c>
      <c r="H6" s="10">
        <f>IF(DAY(AgoDom1)=1,AgoDom1+13,AgoDom1+20)</f>
        <v>40775</v>
      </c>
      <c r="I6" s="10">
        <f>IF(DAY(AgoDom1)=1,AgoDom1+14,AgoDom1+21)</f>
        <v>40776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IF(DAY(AgoDom1)=1,AgoDom1+15,AgoDom1+22)</f>
        <v>40777</v>
      </c>
      <c r="D7" s="10">
        <f>IF(DAY(AgoDom1)=1,AgoDom1+16,AgoDom1+23)</f>
        <v>40778</v>
      </c>
      <c r="E7" s="10">
        <f>IF(DAY(AgoDom1)=1,AgoDom1+17,AgoDom1+24)</f>
        <v>40779</v>
      </c>
      <c r="F7" s="10">
        <f>IF(DAY(AgoDom1)=1,AgoDom1+18,AgoDom1+25)</f>
        <v>40780</v>
      </c>
      <c r="G7" s="10">
        <f>IF(DAY(AgoDom1)=1,AgoDom1+19,AgoDom1+26)</f>
        <v>40781</v>
      </c>
      <c r="H7" s="10">
        <f>IF(DAY(AgoDom1)=1,AgoDom1+20,AgoDom1+27)</f>
        <v>40782</v>
      </c>
      <c r="I7" s="10">
        <f>IF(DAY(AgoDom1)=1,AgoDom1+21,AgoDom1+28)</f>
        <v>40783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IF(DAY(AgoDom1)=1,AgoDom1+22,AgoDom1+29)</f>
        <v>40784</v>
      </c>
      <c r="D8" s="10">
        <f>IF(DAY(AgoDom1)=1,AgoDom1+23,AgoDom1+30)</f>
        <v>40785</v>
      </c>
      <c r="E8" s="10">
        <f>IF(DAY(AgoDom1)=1,AgoDom1+24,AgoDom1+31)</f>
        <v>40786</v>
      </c>
      <c r="F8" s="10">
        <f>IF(DAY(AgoDom1)=1,AgoDom1+25,AgoDom1+32)</f>
        <v>40787</v>
      </c>
      <c r="G8" s="10">
        <f>IF(DAY(AgoDom1)=1,AgoDom1+26,AgoDom1+33)</f>
        <v>40788</v>
      </c>
      <c r="H8" s="10">
        <f>IF(DAY(AgoDom1)=1,AgoDom1+27,AgoDom1+34)</f>
        <v>40789</v>
      </c>
      <c r="I8" s="10">
        <f>IF(DAY(AgoDom1)=1,AgoDom1+28,AgoDom1+35)</f>
        <v>40790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IF(DAY(AgoDom1)=1,AgoDom1+29,AgoDom1+36)</f>
        <v>40791</v>
      </c>
      <c r="D9" s="10">
        <f>IF(DAY(AgoDom1)=1,AgoDom1+30,AgoDom1+37)</f>
        <v>40792</v>
      </c>
      <c r="E9" s="10">
        <f>IF(DAY(AgoDom1)=1,AgoDom1+31,AgoDom1+38)</f>
        <v>40793</v>
      </c>
      <c r="F9" s="10">
        <f>IF(DAY(AgoDom1)=1,AgoDom1+32,AgoDom1+39)</f>
        <v>40794</v>
      </c>
      <c r="G9" s="10">
        <f>IF(DAY(AgoDom1)=1,AgoDom1+33,AgoDom1+40)</f>
        <v>40795</v>
      </c>
      <c r="H9" s="10">
        <f>IF(DAY(AgoDom1)=1,AgoDom1+34,AgoDom1+41)</f>
        <v>40796</v>
      </c>
      <c r="I9" s="10">
        <f>IF(DAY(AgoDom1)=1,AgoDom1+35,AgoDom1+42)</f>
        <v>40797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VLOOKUP(DAY(C4),DíasDeTareas,1,FALSE)=DAY(C4)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O33"/>
  <sheetViews>
    <sheetView showGridLines="0" zoomScaleNormal="100" zoomScalePageLayoutView="84" workbookViewId="0">
      <selection activeCell="K2" sqref="K2:M3"/>
    </sheetView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22" width="8.85546875" customWidth="1"/>
    <col min="42" max="16384" width="8.7109375" style="1"/>
  </cols>
  <sheetData>
    <row r="1" spans="1:14" ht="11.25" customHeight="1" x14ac:dyDescent="0.2"/>
    <row r="2" spans="1:14" ht="18" customHeight="1" x14ac:dyDescent="0.2">
      <c r="A2" s="4"/>
      <c r="B2" s="66" t="s">
        <v>28</v>
      </c>
      <c r="C2" s="21"/>
      <c r="D2" s="21"/>
      <c r="E2" s="21"/>
      <c r="F2" s="21"/>
      <c r="G2" s="21"/>
      <c r="H2" s="21"/>
      <c r="I2" s="21"/>
      <c r="J2" s="22"/>
      <c r="K2" s="40" t="s">
        <v>7</v>
      </c>
      <c r="L2" s="41">
        <v>2013</v>
      </c>
      <c r="M2" s="41"/>
      <c r="N2" s="25"/>
    </row>
    <row r="3" spans="1:14" ht="21" customHeight="1" x14ac:dyDescent="0.2">
      <c r="A3" s="4"/>
      <c r="B3" s="67"/>
      <c r="C3" s="2" t="s">
        <v>9</v>
      </c>
      <c r="D3" s="2" t="s">
        <v>1</v>
      </c>
      <c r="E3" s="2" t="s">
        <v>10</v>
      </c>
      <c r="F3" s="2" t="s">
        <v>11</v>
      </c>
      <c r="G3" s="2" t="s">
        <v>12</v>
      </c>
      <c r="H3" s="2" t="s">
        <v>0</v>
      </c>
      <c r="I3" s="2" t="s">
        <v>13</v>
      </c>
      <c r="J3" s="5"/>
      <c r="K3" s="42"/>
      <c r="L3" s="43"/>
      <c r="M3" s="43"/>
      <c r="N3" s="26"/>
    </row>
    <row r="4" spans="1:14" ht="18" customHeight="1" x14ac:dyDescent="0.2">
      <c r="A4" s="4"/>
      <c r="B4" s="67"/>
      <c r="C4" s="10">
        <f>IF(DAY(SepDom1)=1,SepDom1-6,SepDom1+1)</f>
        <v>40784</v>
      </c>
      <c r="D4" s="10">
        <f>IF(DAY(SepDom1)=1,SepDom1-5,SepDom1+2)</f>
        <v>40785</v>
      </c>
      <c r="E4" s="10">
        <f>IF(DAY(SepDom1)=1,SepDom1-4,SepDom1+3)</f>
        <v>40786</v>
      </c>
      <c r="F4" s="10">
        <f>IF(DAY(SepDom1)=1,SepDom1-3,SepDom1+4)</f>
        <v>40787</v>
      </c>
      <c r="G4" s="10">
        <f>IF(DAY(SepDom1)=1,SepDom1-2,SepDom1+5)</f>
        <v>40788</v>
      </c>
      <c r="H4" s="10">
        <f>IF(DAY(SepDom1)=1,SepDom1-1,SepDom1+6)</f>
        <v>40789</v>
      </c>
      <c r="I4" s="10">
        <f>IF(DAY(SepDom1)=1,SepDom1,SepDom1+7)</f>
        <v>40790</v>
      </c>
      <c r="J4" s="5"/>
      <c r="K4" s="44" t="s">
        <v>16</v>
      </c>
      <c r="L4" s="16"/>
      <c r="M4" s="45"/>
      <c r="N4" s="46"/>
    </row>
    <row r="5" spans="1:14" ht="18" customHeight="1" x14ac:dyDescent="0.2">
      <c r="A5" s="4"/>
      <c r="B5" s="67"/>
      <c r="C5" s="10">
        <f>IF(DAY(SepDom1)=1,SepDom1+1,SepDom1+8)</f>
        <v>40791</v>
      </c>
      <c r="D5" s="10">
        <f>IF(DAY(SepDom1)=1,SepDom1+2,SepDom1+9)</f>
        <v>40792</v>
      </c>
      <c r="E5" s="10">
        <f>IF(DAY(SepDom1)=1,SepDom1+3,SepDom1+10)</f>
        <v>40793</v>
      </c>
      <c r="F5" s="10">
        <f>IF(DAY(SepDom1)=1,SepDom1+4,SepDom1+11)</f>
        <v>40794</v>
      </c>
      <c r="G5" s="10">
        <f>IF(DAY(SepDom1)=1,SepDom1+5,SepDom1+12)</f>
        <v>40795</v>
      </c>
      <c r="H5" s="10">
        <f>IF(DAY(SepDom1)=1,SepDom1+6,SepDom1+13)</f>
        <v>40796</v>
      </c>
      <c r="I5" s="10">
        <f>IF(DAY(SepDom1)=1,SepDom1+7,SepDom1+14)</f>
        <v>40797</v>
      </c>
      <c r="J5" s="5"/>
      <c r="K5" s="36"/>
      <c r="L5" s="17"/>
      <c r="M5" s="29"/>
      <c r="N5" s="30"/>
    </row>
    <row r="6" spans="1:14" ht="18" customHeight="1" x14ac:dyDescent="0.2">
      <c r="A6" s="4"/>
      <c r="B6" s="67"/>
      <c r="C6" s="10">
        <f>IF(DAY(SepDom1)=1,SepDom1+8,SepDom1+15)</f>
        <v>40798</v>
      </c>
      <c r="D6" s="10">
        <f>IF(DAY(SepDom1)=1,SepDom1+9,SepDom1+16)</f>
        <v>40799</v>
      </c>
      <c r="E6" s="10">
        <f>IF(DAY(SepDom1)=1,SepDom1+10,SepDom1+17)</f>
        <v>40800</v>
      </c>
      <c r="F6" s="10">
        <f>IF(DAY(SepDom1)=1,SepDom1+11,SepDom1+18)</f>
        <v>40801</v>
      </c>
      <c r="G6" s="10">
        <f>IF(DAY(SepDom1)=1,SepDom1+12,SepDom1+19)</f>
        <v>40802</v>
      </c>
      <c r="H6" s="10">
        <f>IF(DAY(SepDom1)=1,SepDom1+13,SepDom1+20)</f>
        <v>40803</v>
      </c>
      <c r="I6" s="10">
        <f>IF(DAY(SepDom1)=1,SepDom1+14,SepDom1+21)</f>
        <v>40804</v>
      </c>
      <c r="J6" s="5"/>
      <c r="K6" s="36"/>
      <c r="L6" s="17"/>
      <c r="M6" s="29"/>
      <c r="N6" s="30"/>
    </row>
    <row r="7" spans="1:14" ht="18" customHeight="1" x14ac:dyDescent="0.2">
      <c r="A7" s="4"/>
      <c r="B7" s="67"/>
      <c r="C7" s="10">
        <f>IF(DAY(SepDom1)=1,SepDom1+15,SepDom1+22)</f>
        <v>40805</v>
      </c>
      <c r="D7" s="10">
        <f>IF(DAY(SepDom1)=1,SepDom1+16,SepDom1+23)</f>
        <v>40806</v>
      </c>
      <c r="E7" s="10">
        <f>IF(DAY(SepDom1)=1,SepDom1+17,SepDom1+24)</f>
        <v>40807</v>
      </c>
      <c r="F7" s="10">
        <f>IF(DAY(SepDom1)=1,SepDom1+18,SepDom1+25)</f>
        <v>40808</v>
      </c>
      <c r="G7" s="10">
        <f>IF(DAY(SepDom1)=1,SepDom1+19,SepDom1+26)</f>
        <v>40809</v>
      </c>
      <c r="H7" s="10">
        <f>IF(DAY(SepDom1)=1,SepDom1+20,SepDom1+27)</f>
        <v>40810</v>
      </c>
      <c r="I7" s="10">
        <f>IF(DAY(SepDom1)=1,SepDom1+21,SepDom1+28)</f>
        <v>40811</v>
      </c>
      <c r="J7" s="5"/>
      <c r="K7" s="11"/>
      <c r="L7" s="17"/>
      <c r="M7" s="29"/>
      <c r="N7" s="30"/>
    </row>
    <row r="8" spans="1:14" ht="18.75" customHeight="1" x14ac:dyDescent="0.2">
      <c r="A8" s="4"/>
      <c r="B8" s="67"/>
      <c r="C8" s="10">
        <f>IF(DAY(SepDom1)=1,SepDom1+22,SepDom1+29)</f>
        <v>40812</v>
      </c>
      <c r="D8" s="10">
        <f>IF(DAY(SepDom1)=1,SepDom1+23,SepDom1+30)</f>
        <v>40813</v>
      </c>
      <c r="E8" s="10">
        <f>IF(DAY(SepDom1)=1,SepDom1+24,SepDom1+31)</f>
        <v>40814</v>
      </c>
      <c r="F8" s="10">
        <f>IF(DAY(SepDom1)=1,SepDom1+25,SepDom1+32)</f>
        <v>40815</v>
      </c>
      <c r="G8" s="10">
        <f>IF(DAY(SepDom1)=1,SepDom1+26,SepDom1+33)</f>
        <v>40816</v>
      </c>
      <c r="H8" s="10">
        <f>IF(DAY(SepDom1)=1,SepDom1+27,SepDom1+34)</f>
        <v>40817</v>
      </c>
      <c r="I8" s="10">
        <f>IF(DAY(SepDom1)=1,SepDom1+28,SepDom1+35)</f>
        <v>40818</v>
      </c>
      <c r="J8" s="5"/>
      <c r="K8" s="11"/>
      <c r="L8" s="17"/>
      <c r="M8" s="29"/>
      <c r="N8" s="30"/>
    </row>
    <row r="9" spans="1:14" ht="18" customHeight="1" x14ac:dyDescent="0.2">
      <c r="A9" s="4"/>
      <c r="B9" s="67"/>
      <c r="C9" s="10">
        <f>IF(DAY(SepDom1)=1,SepDom1+29,SepDom1+36)</f>
        <v>40819</v>
      </c>
      <c r="D9" s="10">
        <f>IF(DAY(SepDom1)=1,SepDom1+30,SepDom1+37)</f>
        <v>40820</v>
      </c>
      <c r="E9" s="10">
        <f>IF(DAY(SepDom1)=1,SepDom1+31,SepDom1+38)</f>
        <v>40821</v>
      </c>
      <c r="F9" s="10">
        <f>IF(DAY(SepDom1)=1,SepDom1+32,SepDom1+39)</f>
        <v>40822</v>
      </c>
      <c r="G9" s="10">
        <f>IF(DAY(SepDom1)=1,SepDom1+33,SepDom1+40)</f>
        <v>40823</v>
      </c>
      <c r="H9" s="10">
        <f>IF(DAY(SepDom1)=1,SepDom1+34,SepDom1+41)</f>
        <v>40824</v>
      </c>
      <c r="I9" s="10">
        <f>IF(DAY(SepDom1)=1,SepDom1+35,SepDom1+42)</f>
        <v>40825</v>
      </c>
      <c r="J9" s="5"/>
      <c r="K9" s="12"/>
      <c r="L9" s="18"/>
      <c r="M9" s="31"/>
      <c r="N9" s="32"/>
    </row>
    <row r="10" spans="1:14" ht="18" customHeight="1" x14ac:dyDescent="0.2">
      <c r="A10" s="4"/>
      <c r="B10" s="68"/>
      <c r="C10" s="23"/>
      <c r="D10" s="23"/>
      <c r="E10" s="23"/>
      <c r="F10" s="23"/>
      <c r="G10" s="23"/>
      <c r="H10" s="23"/>
      <c r="I10" s="23"/>
      <c r="J10" s="24"/>
      <c r="K10" s="35" t="s">
        <v>17</v>
      </c>
      <c r="L10" s="16"/>
      <c r="M10" s="33"/>
      <c r="N10" s="34"/>
    </row>
    <row r="11" spans="1:14" ht="18" customHeight="1" x14ac:dyDescent="0.2">
      <c r="A11" s="4"/>
      <c r="B11" s="69" t="s">
        <v>15</v>
      </c>
      <c r="C11" s="70"/>
      <c r="D11" s="70"/>
      <c r="E11" s="70"/>
      <c r="F11" s="70"/>
      <c r="G11" s="70"/>
      <c r="H11" s="70"/>
      <c r="I11" s="70"/>
      <c r="J11" s="71"/>
      <c r="K11" s="36"/>
      <c r="L11" s="17"/>
      <c r="M11" s="29"/>
      <c r="N11" s="30"/>
    </row>
    <row r="12" spans="1:14" ht="18" customHeight="1" x14ac:dyDescent="0.2">
      <c r="A12" s="4"/>
      <c r="B12" s="69"/>
      <c r="C12" s="70"/>
      <c r="D12" s="70"/>
      <c r="E12" s="70"/>
      <c r="F12" s="70"/>
      <c r="G12" s="70"/>
      <c r="H12" s="70"/>
      <c r="I12" s="70"/>
      <c r="J12" s="71"/>
      <c r="K12" s="36"/>
      <c r="L12" s="17"/>
      <c r="M12" s="29"/>
      <c r="N12" s="30"/>
    </row>
    <row r="13" spans="1:14" ht="18" customHeight="1" x14ac:dyDescent="0.2">
      <c r="B13" s="3" t="s">
        <v>16</v>
      </c>
      <c r="C13" s="37" t="s">
        <v>17</v>
      </c>
      <c r="D13" s="39"/>
      <c r="E13" s="37" t="s">
        <v>18</v>
      </c>
      <c r="F13" s="39"/>
      <c r="G13" s="37" t="s">
        <v>19</v>
      </c>
      <c r="H13" s="39"/>
      <c r="I13" s="37" t="s">
        <v>20</v>
      </c>
      <c r="J13" s="38"/>
      <c r="K13" s="11"/>
      <c r="L13" s="17"/>
      <c r="M13" s="29"/>
      <c r="N13" s="30"/>
    </row>
    <row r="14" spans="1:14" ht="18" customHeight="1" x14ac:dyDescent="0.2">
      <c r="B14" s="8" t="s">
        <v>2</v>
      </c>
      <c r="C14" s="51"/>
      <c r="D14" s="52"/>
      <c r="E14" s="51" t="s">
        <v>2</v>
      </c>
      <c r="F14" s="52"/>
      <c r="G14" s="51"/>
      <c r="H14" s="52"/>
      <c r="I14" s="51" t="s">
        <v>2</v>
      </c>
      <c r="J14" s="60"/>
      <c r="K14" s="11"/>
      <c r="L14" s="17"/>
      <c r="M14" s="29"/>
      <c r="N14" s="30"/>
    </row>
    <row r="15" spans="1:14" ht="18" customHeight="1" x14ac:dyDescent="0.2">
      <c r="B15" s="6" t="s">
        <v>21</v>
      </c>
      <c r="C15" s="49"/>
      <c r="D15" s="50"/>
      <c r="E15" s="49" t="s">
        <v>21</v>
      </c>
      <c r="F15" s="50"/>
      <c r="G15" s="49"/>
      <c r="H15" s="50"/>
      <c r="I15" s="57" t="s">
        <v>21</v>
      </c>
      <c r="J15" s="58"/>
      <c r="K15" s="13"/>
      <c r="L15" s="19"/>
      <c r="M15" s="31"/>
      <c r="N15" s="32"/>
    </row>
    <row r="16" spans="1:14" ht="18" customHeight="1" x14ac:dyDescent="0.2">
      <c r="B16" s="8"/>
      <c r="C16" s="51" t="s">
        <v>3</v>
      </c>
      <c r="D16" s="52"/>
      <c r="E16" s="51"/>
      <c r="F16" s="52"/>
      <c r="G16" s="51" t="s">
        <v>3</v>
      </c>
      <c r="H16" s="52"/>
      <c r="I16" s="61"/>
      <c r="J16" s="62"/>
      <c r="K16" s="27" t="s">
        <v>18</v>
      </c>
      <c r="L16" s="16"/>
      <c r="M16" s="33"/>
      <c r="N16" s="34"/>
    </row>
    <row r="17" spans="2:14" ht="18" customHeight="1" x14ac:dyDescent="0.2">
      <c r="B17" s="6"/>
      <c r="C17" s="49" t="s">
        <v>22</v>
      </c>
      <c r="D17" s="50"/>
      <c r="E17" s="49"/>
      <c r="F17" s="50"/>
      <c r="G17" s="49" t="s">
        <v>22</v>
      </c>
      <c r="H17" s="50"/>
      <c r="I17" s="57"/>
      <c r="J17" s="58"/>
      <c r="K17" s="28"/>
      <c r="L17" s="17"/>
      <c r="M17" s="29"/>
      <c r="N17" s="30"/>
    </row>
    <row r="18" spans="2:14" ht="18" customHeight="1" x14ac:dyDescent="0.2">
      <c r="B18" s="9" t="s">
        <v>5</v>
      </c>
      <c r="C18" s="53"/>
      <c r="D18" s="54"/>
      <c r="E18" s="53" t="s">
        <v>5</v>
      </c>
      <c r="F18" s="54"/>
      <c r="G18" s="53"/>
      <c r="H18" s="54"/>
      <c r="I18" s="53" t="s">
        <v>5</v>
      </c>
      <c r="J18" s="59"/>
      <c r="K18" s="28"/>
      <c r="L18" s="17"/>
      <c r="M18" s="29"/>
      <c r="N18" s="30"/>
    </row>
    <row r="19" spans="2:14" ht="18" customHeight="1" x14ac:dyDescent="0.2">
      <c r="B19" s="6" t="s">
        <v>23</v>
      </c>
      <c r="C19" s="49"/>
      <c r="D19" s="50"/>
      <c r="E19" s="49" t="s">
        <v>23</v>
      </c>
      <c r="F19" s="50"/>
      <c r="G19" s="49"/>
      <c r="H19" s="50"/>
      <c r="I19" s="57" t="s">
        <v>23</v>
      </c>
      <c r="J19" s="58"/>
      <c r="K19" s="11"/>
      <c r="L19" s="17"/>
      <c r="M19" s="29"/>
      <c r="N19" s="30"/>
    </row>
    <row r="20" spans="2:14" ht="18" customHeight="1" x14ac:dyDescent="0.2">
      <c r="B20" s="8"/>
      <c r="C20" s="51"/>
      <c r="D20" s="52"/>
      <c r="E20" s="51"/>
      <c r="F20" s="52"/>
      <c r="G20" s="51"/>
      <c r="H20" s="52"/>
      <c r="I20" s="51"/>
      <c r="J20" s="60"/>
      <c r="K20" s="11"/>
      <c r="L20" s="17"/>
      <c r="M20" s="29"/>
      <c r="N20" s="30"/>
    </row>
    <row r="21" spans="2:14" ht="18" customHeight="1" x14ac:dyDescent="0.2">
      <c r="B21" s="6"/>
      <c r="C21" s="49"/>
      <c r="D21" s="50"/>
      <c r="E21" s="49"/>
      <c r="F21" s="50"/>
      <c r="G21" s="49"/>
      <c r="H21" s="50"/>
      <c r="I21" s="63"/>
      <c r="J21" s="64"/>
      <c r="K21" s="13"/>
      <c r="L21" s="19"/>
      <c r="M21" s="31"/>
      <c r="N21" s="32"/>
    </row>
    <row r="22" spans="2:14" ht="18" customHeight="1" x14ac:dyDescent="0.2">
      <c r="B22" s="8"/>
      <c r="C22" s="51"/>
      <c r="D22" s="52"/>
      <c r="E22" s="51"/>
      <c r="F22" s="52"/>
      <c r="G22" s="51"/>
      <c r="H22" s="52"/>
      <c r="I22" s="51"/>
      <c r="J22" s="60"/>
      <c r="K22" s="27" t="s">
        <v>19</v>
      </c>
      <c r="L22" s="16"/>
      <c r="M22" s="33"/>
      <c r="N22" s="34"/>
    </row>
    <row r="23" spans="2:14" ht="18" customHeight="1" x14ac:dyDescent="0.2">
      <c r="B23" s="6"/>
      <c r="C23" s="49"/>
      <c r="D23" s="50"/>
      <c r="E23" s="49"/>
      <c r="F23" s="50"/>
      <c r="G23" s="49"/>
      <c r="H23" s="50"/>
      <c r="I23" s="57"/>
      <c r="J23" s="58"/>
      <c r="K23" s="28"/>
      <c r="L23" s="17"/>
      <c r="M23" s="29"/>
      <c r="N23" s="30"/>
    </row>
    <row r="24" spans="2:14" ht="18" customHeight="1" x14ac:dyDescent="0.2">
      <c r="B24" s="8"/>
      <c r="C24" s="51"/>
      <c r="D24" s="52"/>
      <c r="E24" s="51"/>
      <c r="F24" s="52"/>
      <c r="G24" s="51"/>
      <c r="H24" s="52"/>
      <c r="I24" s="51"/>
      <c r="J24" s="60"/>
      <c r="K24" s="28"/>
      <c r="L24" s="17"/>
      <c r="M24" s="29"/>
      <c r="N24" s="30"/>
    </row>
    <row r="25" spans="2:14" ht="18" customHeight="1" x14ac:dyDescent="0.2">
      <c r="B25" s="6"/>
      <c r="C25" s="49"/>
      <c r="D25" s="50"/>
      <c r="E25" s="49"/>
      <c r="F25" s="50"/>
      <c r="G25" s="49"/>
      <c r="H25" s="50"/>
      <c r="I25" s="57"/>
      <c r="J25" s="58"/>
      <c r="K25" s="28"/>
      <c r="L25" s="17"/>
      <c r="M25" s="29"/>
      <c r="N25" s="30"/>
    </row>
    <row r="26" spans="2:14" ht="18" customHeight="1" x14ac:dyDescent="0.2">
      <c r="B26" s="8" t="s">
        <v>4</v>
      </c>
      <c r="C26" s="51"/>
      <c r="D26" s="52"/>
      <c r="E26" s="51" t="s">
        <v>4</v>
      </c>
      <c r="F26" s="52"/>
      <c r="G26" s="51"/>
      <c r="H26" s="52"/>
      <c r="I26" s="51" t="s">
        <v>4</v>
      </c>
      <c r="J26" s="60"/>
      <c r="K26" s="11"/>
      <c r="L26" s="17"/>
      <c r="M26" s="29"/>
      <c r="N26" s="30"/>
    </row>
    <row r="27" spans="2:14" ht="18" customHeight="1" x14ac:dyDescent="0.2">
      <c r="B27" s="6" t="s">
        <v>24</v>
      </c>
      <c r="C27" s="49"/>
      <c r="D27" s="50"/>
      <c r="E27" s="49" t="s">
        <v>24</v>
      </c>
      <c r="F27" s="50"/>
      <c r="G27" s="49"/>
      <c r="H27" s="50"/>
      <c r="I27" s="57" t="s">
        <v>24</v>
      </c>
      <c r="J27" s="58"/>
      <c r="K27" s="13"/>
      <c r="L27" s="19"/>
      <c r="M27" s="31"/>
      <c r="N27" s="32"/>
    </row>
    <row r="28" spans="2:14" ht="18" customHeight="1" x14ac:dyDescent="0.2">
      <c r="B28" s="8"/>
      <c r="C28" s="51"/>
      <c r="D28" s="52"/>
      <c r="E28" s="51"/>
      <c r="F28" s="52"/>
      <c r="G28" s="51"/>
      <c r="H28" s="52"/>
      <c r="I28" s="51"/>
      <c r="J28" s="60"/>
      <c r="K28" s="35" t="s">
        <v>20</v>
      </c>
      <c r="L28" s="16"/>
      <c r="M28" s="33"/>
      <c r="N28" s="34"/>
    </row>
    <row r="29" spans="2:14" ht="18" customHeight="1" x14ac:dyDescent="0.2">
      <c r="B29" s="6"/>
      <c r="C29" s="49"/>
      <c r="D29" s="50"/>
      <c r="E29" s="49"/>
      <c r="F29" s="50"/>
      <c r="G29" s="49"/>
      <c r="H29" s="50"/>
      <c r="I29" s="49"/>
      <c r="J29" s="65"/>
      <c r="K29" s="36"/>
      <c r="L29" s="17"/>
      <c r="M29" s="29"/>
      <c r="N29" s="30"/>
    </row>
    <row r="30" spans="2:14" ht="18" customHeight="1" x14ac:dyDescent="0.2">
      <c r="B30" s="8"/>
      <c r="C30" s="51" t="s">
        <v>6</v>
      </c>
      <c r="D30" s="52"/>
      <c r="E30" s="51"/>
      <c r="F30" s="52"/>
      <c r="G30" s="51" t="s">
        <v>6</v>
      </c>
      <c r="H30" s="52"/>
      <c r="I30" s="74"/>
      <c r="J30" s="75"/>
      <c r="K30" s="36"/>
      <c r="L30" s="17"/>
      <c r="M30" s="29"/>
      <c r="N30" s="30"/>
    </row>
    <row r="31" spans="2:14" ht="18" customHeight="1" x14ac:dyDescent="0.2">
      <c r="B31" s="6"/>
      <c r="C31" s="49" t="s">
        <v>25</v>
      </c>
      <c r="D31" s="50"/>
      <c r="E31" s="49"/>
      <c r="F31" s="50"/>
      <c r="G31" s="49" t="s">
        <v>25</v>
      </c>
      <c r="H31" s="50"/>
      <c r="I31" s="49"/>
      <c r="J31" s="65"/>
      <c r="K31" s="14"/>
      <c r="L31" s="17"/>
      <c r="M31" s="29"/>
      <c r="N31" s="30"/>
    </row>
    <row r="32" spans="2:14" ht="18" customHeight="1" x14ac:dyDescent="0.2">
      <c r="B32" s="8"/>
      <c r="C32" s="51"/>
      <c r="D32" s="52"/>
      <c r="E32" s="51"/>
      <c r="F32" s="52"/>
      <c r="G32" s="51"/>
      <c r="H32" s="52"/>
      <c r="I32" s="61"/>
      <c r="J32" s="62"/>
      <c r="K32" s="14"/>
      <c r="L32" s="17"/>
      <c r="M32" s="29"/>
      <c r="N32" s="30"/>
    </row>
    <row r="33" spans="2:14" ht="18" customHeight="1" x14ac:dyDescent="0.2">
      <c r="B33" s="7"/>
      <c r="C33" s="55"/>
      <c r="D33" s="56"/>
      <c r="E33" s="55"/>
      <c r="F33" s="56"/>
      <c r="G33" s="55"/>
      <c r="H33" s="56"/>
      <c r="I33" s="76"/>
      <c r="J33" s="77"/>
      <c r="K33" s="15"/>
      <c r="L33" s="20"/>
      <c r="M33" s="72"/>
      <c r="N33" s="73"/>
    </row>
  </sheetData>
  <mergeCells count="122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2:B10"/>
    <mergeCell ref="K2:M3"/>
    <mergeCell ref="K4:K6"/>
    <mergeCell ref="M4:N4"/>
    <mergeCell ref="M5:N5"/>
    <mergeCell ref="M6:N6"/>
    <mergeCell ref="M7:N7"/>
    <mergeCell ref="M8:N8"/>
    <mergeCell ref="M9:N9"/>
    <mergeCell ref="K10:K1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VLOOKUP(DAY(C4),DíasDeTareas,1,FALSE)=DAY(C4)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/>
  <pageMargins left="0.5" right="0.5" top="0.5" bottom="0.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2958f784-0ef9-4616-b22d-512a8cad1f0d" xsi:nil="true"/>
    <AssetExpire xmlns="2958f784-0ef9-4616-b22d-512a8cad1f0d">2029-05-12T07:00:00+00:00</AssetExpire>
    <IntlLangReviewDate xmlns="2958f784-0ef9-4616-b22d-512a8cad1f0d" xsi:nil="true"/>
    <TPFriendlyName xmlns="2958f784-0ef9-4616-b22d-512a8cad1f0d" xsi:nil="true"/>
    <IntlLangReview xmlns="2958f784-0ef9-4616-b22d-512a8cad1f0d" xsi:nil="true"/>
    <PolicheckWords xmlns="2958f784-0ef9-4616-b22d-512a8cad1f0d" xsi:nil="true"/>
    <SubmitterId xmlns="2958f784-0ef9-4616-b22d-512a8cad1f0d" xsi:nil="true"/>
    <AcquiredFrom xmlns="2958f784-0ef9-4616-b22d-512a8cad1f0d">Internal MS</AcquiredFrom>
    <EditorialStatus xmlns="2958f784-0ef9-4616-b22d-512a8cad1f0d" xsi:nil="true"/>
    <Markets xmlns="2958f784-0ef9-4616-b22d-512a8cad1f0d"/>
    <OriginAsset xmlns="2958f784-0ef9-4616-b22d-512a8cad1f0d" xsi:nil="true"/>
    <AssetStart xmlns="2958f784-0ef9-4616-b22d-512a8cad1f0d">2011-02-21T14:14:00+00:00</AssetStart>
    <FriendlyTitle xmlns="2958f784-0ef9-4616-b22d-512a8cad1f0d" xsi:nil="true"/>
    <MarketSpecific xmlns="2958f784-0ef9-4616-b22d-512a8cad1f0d">false</MarketSpecific>
    <TPNamespace xmlns="2958f784-0ef9-4616-b22d-512a8cad1f0d" xsi:nil="true"/>
    <PublishStatusLookup xmlns="2958f784-0ef9-4616-b22d-512a8cad1f0d">
      <Value>414123</Value>
      <Value>645094</Value>
    </PublishStatusLookup>
    <APAuthor xmlns="2958f784-0ef9-4616-b22d-512a8cad1f0d">
      <UserInfo>
        <DisplayName/>
        <AccountId>2098</AccountId>
        <AccountType/>
      </UserInfo>
    </APAuthor>
    <TPCommandLine xmlns="2958f784-0ef9-4616-b22d-512a8cad1f0d" xsi:nil="true"/>
    <IntlLangReviewer xmlns="2958f784-0ef9-4616-b22d-512a8cad1f0d" xsi:nil="true"/>
    <OpenTemplate xmlns="2958f784-0ef9-4616-b22d-512a8cad1f0d">true</OpenTemplate>
    <CSXSubmissionDate xmlns="2958f784-0ef9-4616-b22d-512a8cad1f0d" xsi:nil="true"/>
    <Manager xmlns="2958f784-0ef9-4616-b22d-512a8cad1f0d" xsi:nil="true"/>
    <NumericId xmlns="2958f784-0ef9-4616-b22d-512a8cad1f0d" xsi:nil="true"/>
    <ParentAssetId xmlns="2958f784-0ef9-4616-b22d-512a8cad1f0d" xsi:nil="true"/>
    <OriginalSourceMarket xmlns="2958f784-0ef9-4616-b22d-512a8cad1f0d">english</OriginalSourceMarket>
    <ApprovalStatus xmlns="2958f784-0ef9-4616-b22d-512a8cad1f0d">InProgress</ApprovalStatus>
    <TPComponent xmlns="2958f784-0ef9-4616-b22d-512a8cad1f0d" xsi:nil="true"/>
    <EditorialTags xmlns="2958f784-0ef9-4616-b22d-512a8cad1f0d" xsi:nil="true"/>
    <TPExecutable xmlns="2958f784-0ef9-4616-b22d-512a8cad1f0d" xsi:nil="true"/>
    <TPLaunchHelpLink xmlns="2958f784-0ef9-4616-b22d-512a8cad1f0d" xsi:nil="true"/>
    <SourceTitle xmlns="2958f784-0ef9-4616-b22d-512a8cad1f0d" xsi:nil="true"/>
    <CSXUpdate xmlns="2958f784-0ef9-4616-b22d-512a8cad1f0d">false</CSXUpdate>
    <IntlLocPriority xmlns="2958f784-0ef9-4616-b22d-512a8cad1f0d" xsi:nil="true"/>
    <UAProjectedTotalWords xmlns="2958f784-0ef9-4616-b22d-512a8cad1f0d" xsi:nil="true"/>
    <AssetType xmlns="2958f784-0ef9-4616-b22d-512a8cad1f0d">TP</AssetType>
    <MachineTranslated xmlns="2958f784-0ef9-4616-b22d-512a8cad1f0d">false</MachineTranslated>
    <OutputCachingOn xmlns="2958f784-0ef9-4616-b22d-512a8cad1f0d">false</OutputCachingOn>
    <TemplateStatus xmlns="2958f784-0ef9-4616-b22d-512a8cad1f0d" xsi:nil="true"/>
    <IsSearchable xmlns="2958f784-0ef9-4616-b22d-512a8cad1f0d">true</IsSearchable>
    <ContentItem xmlns="2958f784-0ef9-4616-b22d-512a8cad1f0d" xsi:nil="true"/>
    <HandoffToMSDN xmlns="2958f784-0ef9-4616-b22d-512a8cad1f0d" xsi:nil="true"/>
    <ShowIn xmlns="2958f784-0ef9-4616-b22d-512a8cad1f0d">Show everywhere</ShowIn>
    <ThumbnailAssetId xmlns="2958f784-0ef9-4616-b22d-512a8cad1f0d" xsi:nil="true"/>
    <UALocComments xmlns="2958f784-0ef9-4616-b22d-512a8cad1f0d" xsi:nil="true"/>
    <UALocRecommendation xmlns="2958f784-0ef9-4616-b22d-512a8cad1f0d">Localize</UALocRecommendation>
    <LastModifiedDateTime xmlns="2958f784-0ef9-4616-b22d-512a8cad1f0d" xsi:nil="true"/>
    <LastPublishResultLookup xmlns="2958f784-0ef9-4616-b22d-512a8cad1f0d" xsi:nil="true"/>
    <LegacyData xmlns="2958f784-0ef9-4616-b22d-512a8cad1f0d" xsi:nil="true"/>
    <ClipArtFilename xmlns="2958f784-0ef9-4616-b22d-512a8cad1f0d" xsi:nil="true"/>
    <TPApplication xmlns="2958f784-0ef9-4616-b22d-512a8cad1f0d" xsi:nil="true"/>
    <CSXHash xmlns="2958f784-0ef9-4616-b22d-512a8cad1f0d" xsi:nil="true"/>
    <DirectSourceMarket xmlns="2958f784-0ef9-4616-b22d-512a8cad1f0d">english</DirectSourceMarket>
    <PrimaryImageGen xmlns="2958f784-0ef9-4616-b22d-512a8cad1f0d">true</PrimaryImageGen>
    <PlannedPubDate xmlns="2958f784-0ef9-4616-b22d-512a8cad1f0d" xsi:nil="true"/>
    <CSXSubmissionMarket xmlns="2958f784-0ef9-4616-b22d-512a8cad1f0d" xsi:nil="true"/>
    <Downloads xmlns="2958f784-0ef9-4616-b22d-512a8cad1f0d">0</Downloads>
    <ArtSampleDocs xmlns="2958f784-0ef9-4616-b22d-512a8cad1f0d" xsi:nil="true"/>
    <TrustLevel xmlns="2958f784-0ef9-4616-b22d-512a8cad1f0d">1 Microsoft Managed Content</TrustLevel>
    <BlockPublish xmlns="2958f784-0ef9-4616-b22d-512a8cad1f0d">false</BlockPublish>
    <TPLaunchHelpLinkType xmlns="2958f784-0ef9-4616-b22d-512a8cad1f0d">Template</TPLaunchHelpLinkType>
    <BusinessGroup xmlns="2958f784-0ef9-4616-b22d-512a8cad1f0d" xsi:nil="true"/>
    <Providers xmlns="2958f784-0ef9-4616-b22d-512a8cad1f0d" xsi:nil="true"/>
    <TemplateTemplateType xmlns="2958f784-0ef9-4616-b22d-512a8cad1f0d">Excel Chart Template</TemplateTemplateType>
    <TimesCloned xmlns="2958f784-0ef9-4616-b22d-512a8cad1f0d" xsi:nil="true"/>
    <TPAppVersion xmlns="2958f784-0ef9-4616-b22d-512a8cad1f0d" xsi:nil="true"/>
    <VoteCount xmlns="2958f784-0ef9-4616-b22d-512a8cad1f0d" xsi:nil="true"/>
    <AverageRating xmlns="2958f784-0ef9-4616-b22d-512a8cad1f0d" xsi:nil="true"/>
    <Provider xmlns="2958f784-0ef9-4616-b22d-512a8cad1f0d" xsi:nil="true"/>
    <UACurrentWords xmlns="2958f784-0ef9-4616-b22d-512a8cad1f0d" xsi:nil="true"/>
    <AssetId xmlns="2958f784-0ef9-4616-b22d-512a8cad1f0d">TP102551273</AssetId>
    <TPClientViewer xmlns="2958f784-0ef9-4616-b22d-512a8cad1f0d" xsi:nil="true"/>
    <DSATActionTaken xmlns="2958f784-0ef9-4616-b22d-512a8cad1f0d" xsi:nil="true"/>
    <APEditor xmlns="2958f784-0ef9-4616-b22d-512a8cad1f0d">
      <UserInfo>
        <DisplayName/>
        <AccountId xsi:nil="true"/>
        <AccountType/>
      </UserInfo>
    </APEditor>
    <TPInstallLocation xmlns="2958f784-0ef9-4616-b22d-512a8cad1f0d" xsi:nil="true"/>
    <OOCacheId xmlns="2958f784-0ef9-4616-b22d-512a8cad1f0d" xsi:nil="true"/>
    <IsDeleted xmlns="2958f784-0ef9-4616-b22d-512a8cad1f0d">false</IsDeleted>
    <PublishTargets xmlns="2958f784-0ef9-4616-b22d-512a8cad1f0d">OfficeOnline</PublishTargets>
    <ApprovalLog xmlns="2958f784-0ef9-4616-b22d-512a8cad1f0d" xsi:nil="true"/>
    <BugNumber xmlns="2958f784-0ef9-4616-b22d-512a8cad1f0d" xsi:nil="true"/>
    <CrawlForDependencies xmlns="2958f784-0ef9-4616-b22d-512a8cad1f0d">false</CrawlForDependencies>
    <LastHandOff xmlns="2958f784-0ef9-4616-b22d-512a8cad1f0d" xsi:nil="true"/>
    <Milestone xmlns="2958f784-0ef9-4616-b22d-512a8cad1f0d" xsi:nil="true"/>
    <UANotes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Description0 xmlns="fb5acd76-e9f3-4601-9d69-91f53ab96ae6" xsi:nil="true"/>
    <Component xmlns="fb5acd76-e9f3-4601-9d69-91f53ab96ae6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6191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3B75E-D7F3-4602-9E84-CC855053F540}"/>
</file>

<file path=customXml/itemProps2.xml><?xml version="1.0" encoding="utf-8"?>
<ds:datastoreItem xmlns:ds="http://schemas.openxmlformats.org/officeDocument/2006/customXml" ds:itemID="{642A2AB2-C96A-4F1D-A896-B2666E5A28B2}"/>
</file>

<file path=customXml/itemProps3.xml><?xml version="1.0" encoding="utf-8"?>
<ds:datastoreItem xmlns:ds="http://schemas.openxmlformats.org/officeDocument/2006/customXml" ds:itemID="{1B863E64-5A78-4A93-B295-4DE62DE0DF4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Año_Calendario</vt:lpstr>
      <vt:lpstr>Abril!DíasDeTareas</vt:lpstr>
      <vt:lpstr>Agosto!DíasDeTareas</vt:lpstr>
      <vt:lpstr>Diciembre!DíasDeTareas</vt:lpstr>
      <vt:lpstr>Febrero!DíasDeTareas</vt:lpstr>
      <vt:lpstr>Julio!DíasDeTareas</vt:lpstr>
      <vt:lpstr>Junio!DíasDeTareas</vt:lpstr>
      <vt:lpstr>Marzo!DíasDeTareas</vt:lpstr>
      <vt:lpstr>Mayo!DíasDeTareas</vt:lpstr>
      <vt:lpstr>Noviembre!DíasDeTareas</vt:lpstr>
      <vt:lpstr>Octubre!DíasDeTareas</vt:lpstr>
      <vt:lpstr>Septiembre!DíasDeTareas</vt:lpstr>
      <vt:lpstr>DíasDeTareas</vt:lpstr>
      <vt:lpstr>Abril!Print_Area</vt:lpstr>
      <vt:lpstr>Agosto!Print_Area</vt:lpstr>
      <vt:lpstr>Diciembre!Print_Area</vt:lpstr>
      <vt:lpstr>Enero!Print_Area</vt:lpstr>
      <vt:lpstr>Febrero!Print_Area</vt:lpstr>
      <vt:lpstr>Julio!Print_Area</vt:lpstr>
      <vt:lpstr>Junio!Print_Area</vt:lpstr>
      <vt:lpstr>Marzo!Print_Area</vt:lpstr>
      <vt:lpstr>Mayo!Print_Area</vt:lpstr>
      <vt:lpstr>Noviembre!Print_Area</vt:lpstr>
      <vt:lpstr>Octubre!Print_Area</vt:lpstr>
      <vt:lpstr>Septiembre!Print_Area</vt:lpstr>
      <vt:lpstr>Abril!TablaFechasImportantes</vt:lpstr>
      <vt:lpstr>Agosto!TablaFechasImportantes</vt:lpstr>
      <vt:lpstr>Diciembre!TablaFechasImportantes</vt:lpstr>
      <vt:lpstr>Febrero!TablaFechasImportantes</vt:lpstr>
      <vt:lpstr>Julio!TablaFechasImportantes</vt:lpstr>
      <vt:lpstr>Junio!TablaFechasImportantes</vt:lpstr>
      <vt:lpstr>Marzo!TablaFechasImportantes</vt:lpstr>
      <vt:lpstr>Mayo!TablaFechasImportantes</vt:lpstr>
      <vt:lpstr>Noviembre!TablaFechasImportantes</vt:lpstr>
      <vt:lpstr>Octubre!TablaFechasImportantes</vt:lpstr>
      <vt:lpstr>Septiembre!TablaFechasImportantes</vt:lpstr>
      <vt:lpstr>TablaFechasImportantes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Samyuktha Laxminarayana (Lionbridge)</dc:creator>
  <cp:lastModifiedBy>AWS CFM Account</cp:lastModifiedBy>
  <cp:lastPrinted>2010-12-16T21:23:33Z</cp:lastPrinted>
  <dcterms:created xsi:type="dcterms:W3CDTF">2010-04-07T20:16:53Z</dcterms:created>
  <dcterms:modified xsi:type="dcterms:W3CDTF">2012-05-30T11:59:59Z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Order">
    <vt:r8>13293600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