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20" windowWidth="15480" windowHeight="11640" tabRatio="690"/>
  </bookViews>
  <sheets>
    <sheet name="Enero" sheetId="1" r:id="rId1"/>
    <sheet name="Febrero" sheetId="6" r:id="rId2"/>
    <sheet name="Marzo" sheetId="7" r:id="rId3"/>
    <sheet name="Abril" sheetId="8" r:id="rId4"/>
    <sheet name="Mayo" sheetId="9" r:id="rId5"/>
    <sheet name="Junio" sheetId="10" r:id="rId6"/>
    <sheet name="Julio" sheetId="11" r:id="rId7"/>
    <sheet name="Agosto" sheetId="12" r:id="rId8"/>
    <sheet name="Septiembre" sheetId="13" r:id="rId9"/>
    <sheet name="Octubre" sheetId="14" r:id="rId10"/>
    <sheet name="Noviembre" sheetId="15" r:id="rId11"/>
    <sheet name="Diciembre" sheetId="16" r:id="rId12"/>
  </sheets>
  <definedNames>
    <definedName name="AbrDom1">DATE(Año_Calendario,4,1)-WEEKDAY(DATE(Año_Calendario,4,1))+1</definedName>
    <definedName name="AgoDom1">DATE(Año_Calendario,8,1)-WEEKDAY(DATE(Año_Calendario,8,1))+1</definedName>
    <definedName name="Año_Calendario">Enero!$N$2</definedName>
    <definedName name="DíasDeTareas" localSheetId="3">Abril!$L$4:$L$33</definedName>
    <definedName name="DíasDeTareas" localSheetId="7">Agosto!$L$4:$L$33</definedName>
    <definedName name="DíasDeTareas" localSheetId="11">Diciembre!$L$4:$L$33</definedName>
    <definedName name="DíasDeTareas" localSheetId="1">Febrero!$L$4:$L$33</definedName>
    <definedName name="DíasDeTareas" localSheetId="6">Julio!$L$4:$L$33</definedName>
    <definedName name="DíasDeTareas" localSheetId="5">Junio!$L$4:$L$33</definedName>
    <definedName name="DíasDeTareas" localSheetId="2">Marzo!$L$4:$L$33</definedName>
    <definedName name="DíasDeTareas" localSheetId="4">Mayo!$L$4:$L$33</definedName>
    <definedName name="DíasDeTareas" localSheetId="10">Noviembre!$L$4:$L$33</definedName>
    <definedName name="DíasDeTareas" localSheetId="9">Octubre!$L$4:$L$33</definedName>
    <definedName name="DíasDeTareas" localSheetId="8">Septiembre!$L$4:$L$33</definedName>
    <definedName name="DíasDeTareas">Enero!$L$4:$L$33</definedName>
    <definedName name="DicDom1">DATE(Año_Calendario,12,1)-WEEKDAY(DATE(Año_Calendario,12,1))+1</definedName>
    <definedName name="FebDom1">DATE(Año_Calendario,2,1)-WEEKDAY(DATE(Año_Calendario,2,1))+1</definedName>
    <definedName name="JanSun1">DATE(Año_Calendario,1,1)-WEEKDAY(DATE(Año_Calendario,1,1))+1</definedName>
    <definedName name="JulDom1">DATE(Año_Calendario,7,1)-WEEKDAY(DATE(Año_Calendario,7,1))+1</definedName>
    <definedName name="JunDom1">DATE(Año_Calendario,6,1)-WEEKDAY(DATE(Año_Calendario,6,1))+1</definedName>
    <definedName name="MarDom1">DATE(Año_Calendario,3,1)-WEEKDAY(DATE(Año_Calendario,3,1))+1</definedName>
    <definedName name="MayDom1">DATE(Año_Calendario,5,1)-WEEKDAY(DATE(Año_Calendario,5,1))+1</definedName>
    <definedName name="NovDom1">DATE(Año_Calendario,11,1)-WEEKDAY(DATE(Año_Calendario,11,1))+1</definedName>
    <definedName name="OctDom1">DATE(Año_Calendario,10,1)-WEEKDAY(DATE(Año_Calendario,10,1))+1</definedName>
    <definedName name="_xlnm.Print_Area" localSheetId="3">Abril!$A$1:$M$50</definedName>
    <definedName name="_xlnm.Print_Area" localSheetId="7">Agosto!$A$1:$M$50</definedName>
    <definedName name="_xlnm.Print_Area" localSheetId="11">Diciembre!$A$1:$M$50</definedName>
    <definedName name="_xlnm.Print_Area" localSheetId="0">Enero!$A$1:$M$50</definedName>
    <definedName name="_xlnm.Print_Area" localSheetId="1">Febrero!$A$1:$M$50</definedName>
    <definedName name="_xlnm.Print_Area" localSheetId="6">Julio!$A$1:$M$50</definedName>
    <definedName name="_xlnm.Print_Area" localSheetId="5">Junio!$A$1:$M$50</definedName>
    <definedName name="_xlnm.Print_Area" localSheetId="2">Marzo!$A$1:$M$50</definedName>
    <definedName name="_xlnm.Print_Area" localSheetId="4">Mayo!$A$1:$M$50</definedName>
    <definedName name="_xlnm.Print_Area" localSheetId="10">Noviembre!$A$1:$M$50</definedName>
    <definedName name="_xlnm.Print_Area" localSheetId="9">Octubre!$A$1:$M$50</definedName>
    <definedName name="_xlnm.Print_Area" localSheetId="8">Septiembre!$A$1:$M$50</definedName>
    <definedName name="SepDom1">DATE(Año_Calendario,9,1)-WEEKDAY(DATE(Año_Calendario,9,1))+1</definedName>
    <definedName name="TablaFechasImportantes" localSheetId="3">Abril!$L$4:$M$8</definedName>
    <definedName name="TablaFechasImportantes" localSheetId="7">Agosto!$L$4:$M$8</definedName>
    <definedName name="TablaFechasImportantes" localSheetId="11">Diciembre!$L$4:$M$8</definedName>
    <definedName name="TablaFechasImportantes" localSheetId="1">Febrero!$L$4:$M$8</definedName>
    <definedName name="TablaFechasImportantes" localSheetId="6">Julio!$L$4:$M$8</definedName>
    <definedName name="TablaFechasImportantes" localSheetId="5">Junio!$L$4:$M$8</definedName>
    <definedName name="TablaFechasImportantes" localSheetId="2">Marzo!$L$4:$M$8</definedName>
    <definedName name="TablaFechasImportantes" localSheetId="4">Mayo!$L$4:$M$8</definedName>
    <definedName name="TablaFechasImportantes" localSheetId="10">Noviembre!$L$4:$M$8</definedName>
    <definedName name="TablaFechasImportantes" localSheetId="9">Octubre!$L$4:$M$8</definedName>
    <definedName name="TablaFechasImportantes" localSheetId="8">Septiembre!$L$4:$M$8</definedName>
    <definedName name="TablaFechasImportantes">Enero!$L$4:$M$8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<sst xmlns="http://schemas.openxmlformats.org/spreadsheetml/2006/main" count="554" uniqueCount="38">
  <si>
    <t>S</t>
  </si>
  <si>
    <t>M</t>
  </si>
  <si>
    <t>8:00</t>
  </si>
  <si>
    <t>9:00</t>
  </si>
  <si>
    <t>2:00</t>
  </si>
  <si>
    <t>10:00</t>
  </si>
  <si>
    <t>4:00</t>
  </si>
  <si>
    <t>TAREAS</t>
  </si>
  <si>
    <t>ENERO</t>
  </si>
  <si>
    <t>L</t>
  </si>
  <si>
    <t>X</t>
  </si>
  <si>
    <t>J</t>
  </si>
  <si>
    <t>V</t>
  </si>
  <si>
    <t>D</t>
  </si>
  <si>
    <t>DICIEMBRE</t>
  </si>
  <si>
    <t>HORARIO SEMANAL</t>
  </si>
  <si>
    <t>LUN</t>
  </si>
  <si>
    <t>MAR</t>
  </si>
  <si>
    <t>MIÉ</t>
  </si>
  <si>
    <t>JUE</t>
  </si>
  <si>
    <t>VIE</t>
  </si>
  <si>
    <t>Francés</t>
  </si>
  <si>
    <t>Historia del arte</t>
  </si>
  <si>
    <t>Matemáticas</t>
  </si>
  <si>
    <t>Inglés</t>
  </si>
  <si>
    <t>Programación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</si>
  <si>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</si>
  <si>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</si>
  <si>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</si>
  <si>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</si>
  <si>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</si>
  <si>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</si>
  <si>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</si>
  <si>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</si>
  <si>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</si>
  <si>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</si>
  <si>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Matemáticas: Examen</t>
  </si>
  <si>
    <t>Francés: Entrega del primer borrador en papel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</si>
</sst>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28" xfId="0" applyNumberFormat="1" applyFont="1" applyFill="1" applyBorder="1" applyAlignment="1">
      <alignment horizontal="left" indent="1"/>
    </xf>
    <xf numFmtId="49" fontId="14" fillId="5" borderId="16" xfId="0" applyNumberFormat="1" applyFont="1" applyFill="1" applyBorder="1" applyAlignment="1">
      <alignment horizontal="left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0" fontId="15" fillId="5" borderId="27" xfId="0" applyFont="1" applyFill="1" applyBorder="1" applyAlignment="1">
      <alignment horizontal="left" vertical="top" indent="1"/>
    </xf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Haga clic en el control de número para cambiar</a:t>
          </a:r>
          <a:r>
            <a:rPr lang="en-US" sz="1000" b="1" baseline="0">
              <a:solidFill>
                <a:schemeClr val="accent1"/>
              </a:solidFill>
            </a:rPr>
            <a:t> el año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8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47">
        <v>2011</v>
      </c>
    </row>
    <row r="3" spans="1:14" ht="21" customHeight="1" x14ac:dyDescent="0.2">
      <c r="A3" s="4"/>
      <c r="B3" s="67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42"/>
      <c r="L3" s="43"/>
      <c r="M3" s="43"/>
      <c r="N3" s="48"/>
    </row>
    <row r="4" spans="1:14" ht="18" customHeight="1" x14ac:dyDescent="0.2">
      <c r="A4" s="4"/>
      <c r="B4" s="67"/>
      <c r="C4" s="10">
        <f>IF(DAY(JanSun1)=1,JanSun1-6,JanSun1+1)</f>
        <v>40539</v>
      </c>
      <c r="D4" s="10">
        <f>IF(DAY(JanSun1)=1,JanSun1-5,JanSun1+2)</f>
        <v>40540</v>
      </c>
      <c r="E4" s="10">
        <f>IF(DAY(JanSun1)=1,JanSun1-4,JanSun1+3)</f>
        <v>40541</v>
      </c>
      <c r="F4" s="10">
        <f>IF(DAY(JanSun1)=1,JanSun1-3,JanSun1+4)</f>
        <v>40542</v>
      </c>
      <c r="G4" s="10">
        <f>IF(DAY(JanSun1)=1,JanSun1-2,JanSun1+5)</f>
        <v>40543</v>
      </c>
      <c r="H4" s="10">
        <f>IF(DAY(JanSun1)=1,JanSun1-1,JanSun1+6)</f>
        <v>40544</v>
      </c>
      <c r="I4" s="10">
        <f>IF(DAY(JanSun1)=1,JanSun1,JanSun1+7)</f>
        <v>40545</v>
      </c>
      <c r="J4" s="5"/>
      <c r="K4" s="44" t="s">
        <v>16</v>
      </c>
      <c r="L4" s="16">
        <v>3</v>
      </c>
      <c r="M4" s="45" t="s">
        <v>37</v>
      </c>
      <c r="N4" s="46"/>
    </row>
    <row r="5" spans="1:14" ht="18" customHeight="1" x14ac:dyDescent="0.2">
      <c r="A5" s="4"/>
      <c r="B5" s="67"/>
      <c r="C5" s="10">
        <f>IF(DAY(JanSun1)=1,JanSun1+1,JanSun1+8)</f>
        <v>40546</v>
      </c>
      <c r="D5" s="10">
        <f>IF(DAY(JanSun1)=1,JanSun1+2,JanSun1+9)</f>
        <v>40547</v>
      </c>
      <c r="E5" s="10">
        <f>IF(DAY(JanSun1)=1,JanSun1+3,JanSun1+10)</f>
        <v>40548</v>
      </c>
      <c r="F5" s="10">
        <f>IF(DAY(JanSun1)=1,JanSun1+4,JanSun1+11)</f>
        <v>40549</v>
      </c>
      <c r="G5" s="10">
        <f>IF(DAY(JanSun1)=1,JanSun1+5,JanSun1+12)</f>
        <v>40550</v>
      </c>
      <c r="H5" s="10">
        <f>IF(DAY(JanSun1)=1,JanSun1+6,JanSun1+13)</f>
        <v>40551</v>
      </c>
      <c r="I5" s="10">
        <f>IF(DAY(JanSun1)=1,JanSun1+7,JanSun1+14)</f>
        <v>40552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IF(DAY(JanSun1)=1,JanSun1+8,JanSun1+15)</f>
        <v>40553</v>
      </c>
      <c r="D6" s="10">
        <f>IF(DAY(JanSun1)=1,JanSun1+9,JanSun1+16)</f>
        <v>40554</v>
      </c>
      <c r="E6" s="10">
        <f>IF(DAY(JanSun1)=1,JanSun1+10,JanSun1+17)</f>
        <v>40555</v>
      </c>
      <c r="F6" s="10">
        <f>IF(DAY(JanSun1)=1,JanSun1+11,JanSun1+18)</f>
        <v>40556</v>
      </c>
      <c r="G6" s="10">
        <f>IF(DAY(JanSun1)=1,JanSun1+12,JanSun1+19)</f>
        <v>40557</v>
      </c>
      <c r="H6" s="10">
        <f>IF(DAY(JanSun1)=1,JanSun1+13,JanSun1+20)</f>
        <v>40558</v>
      </c>
      <c r="I6" s="10">
        <f>IF(DAY(JanSun1)=1,JanSun1+14,JanSun1+21)</f>
        <v>40559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IF(DAY(JanSun1)=1,JanSun1+15,JanSun1+22)</f>
        <v>40560</v>
      </c>
      <c r="D7" s="10">
        <f>IF(DAY(JanSun1)=1,JanSun1+16,JanSun1+23)</f>
        <v>40561</v>
      </c>
      <c r="E7" s="10">
        <f>IF(DAY(JanSun1)=1,JanSun1+17,JanSun1+24)</f>
        <v>40562</v>
      </c>
      <c r="F7" s="10">
        <f>IF(DAY(JanSun1)=1,JanSun1+18,JanSun1+25)</f>
        <v>40563</v>
      </c>
      <c r="G7" s="10">
        <f>IF(DAY(JanSun1)=1,JanSun1+19,JanSun1+26)</f>
        <v>40564</v>
      </c>
      <c r="H7" s="10">
        <f>IF(DAY(JanSun1)=1,JanSun1+20,JanSun1+27)</f>
        <v>40565</v>
      </c>
      <c r="I7" s="10">
        <f>IF(DAY(JanSun1)=1,JanSun1+21,JanSun1+28)</f>
        <v>40566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IF(DAY(JanSun1)=1,JanSun1+22,JanSun1+29)</f>
        <v>40567</v>
      </c>
      <c r="D8" s="10">
        <f>IF(DAY(JanSun1)=1,JanSun1+23,JanSun1+30)</f>
        <v>40568</v>
      </c>
      <c r="E8" s="10">
        <f>IF(DAY(JanSun1)=1,JanSun1+24,JanSun1+31)</f>
        <v>40569</v>
      </c>
      <c r="F8" s="10">
        <f>IF(DAY(JanSun1)=1,JanSun1+25,JanSun1+32)</f>
        <v>40570</v>
      </c>
      <c r="G8" s="10">
        <f>IF(DAY(JanSun1)=1,JanSun1+26,JanSun1+33)</f>
        <v>40571</v>
      </c>
      <c r="H8" s="10">
        <f>IF(DAY(JanSun1)=1,JanSun1+27,JanSun1+34)</f>
        <v>40572</v>
      </c>
      <c r="I8" s="10">
        <f>IF(DAY(JanSun1)=1,JanSun1+28,JanSun1+35)</f>
        <v>40573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IF(DAY(JanSun1)=1,JanSun1+29,JanSun1+36)</f>
        <v>40574</v>
      </c>
      <c r="D9" s="10">
        <f>IF(DAY(JanSun1)=1,JanSun1+30,JanSun1+37)</f>
        <v>40575</v>
      </c>
      <c r="E9" s="10">
        <f>IF(DAY(JanSun1)=1,JanSun1+31,JanSun1+38)</f>
        <v>40576</v>
      </c>
      <c r="F9" s="10">
        <f>IF(DAY(JanSun1)=1,JanSun1+32,JanSun1+39)</f>
        <v>40577</v>
      </c>
      <c r="G9" s="10">
        <f>IF(DAY(JanSun1)=1,JanSun1+33,JanSun1+40)</f>
        <v>40578</v>
      </c>
      <c r="H9" s="10">
        <f>IF(DAY(JanSun1)=1,JanSun1+34,JanSun1+41)</f>
        <v>40579</v>
      </c>
      <c r="I9" s="10">
        <f>IF(DAY(JanSun1)=1,JanSun1+35,JanSun1+42)</f>
        <v>40580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17</v>
      </c>
      <c r="L10" s="16">
        <v>18</v>
      </c>
      <c r="M10" s="33" t="s">
        <v>36</v>
      </c>
      <c r="N10" s="34"/>
    </row>
    <row r="11" spans="1:14" ht="18" customHeight="1" x14ac:dyDescent="0.2">
      <c r="A11" s="4"/>
      <c r="B11" s="69" t="s">
        <v>15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16</v>
      </c>
      <c r="C13" s="37" t="s">
        <v>17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3"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VLOOKUP(DAY(C4),DíasDeTareas,1,FALSE)=DAY(C4)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K2" sqref="K2:M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27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IF(DAY(OctDom1)=1,OctDom1-6,OctDom1+1)</f>
        <v>40812</v>
      </c>
      <c r="D4" s="10">
        <f>IF(DAY(OctDom1)=1,OctDom1-5,OctDom1+2)</f>
        <v>40813</v>
      </c>
      <c r="E4" s="10">
        <f>IF(DAY(OctDom1)=1,OctDom1-4,OctDom1+3)</f>
        <v>40814</v>
      </c>
      <c r="F4" s="10">
        <f>IF(DAY(OctDom1)=1,OctDom1-3,OctDom1+4)</f>
        <v>40815</v>
      </c>
      <c r="G4" s="10">
        <f>IF(DAY(OctDom1)=1,OctDom1-2,OctDom1+5)</f>
        <v>40816</v>
      </c>
      <c r="H4" s="10">
        <f>IF(DAY(OctDom1)=1,OctDom1-1,OctDom1+6)</f>
        <v>40817</v>
      </c>
      <c r="I4" s="10">
        <f>IF(DAY(OctDom1)=1,OctDom1,OctDom1+7)</f>
        <v>40818</v>
      </c>
      <c r="J4" s="5"/>
      <c r="K4" s="44" t="s">
        <v>16</v>
      </c>
      <c r="L4" s="16"/>
      <c r="M4" s="45"/>
      <c r="N4" s="46"/>
    </row>
    <row r="5" spans="1:14" ht="18" customHeight="1" x14ac:dyDescent="0.2">
      <c r="A5" s="4"/>
      <c r="B5" s="67"/>
      <c r="C5" s="10">
        <f>IF(DAY(OctDom1)=1,OctDom1+1,OctDom1+8)</f>
        <v>40819</v>
      </c>
      <c r="D5" s="10">
        <f>IF(DAY(OctDom1)=1,OctDom1+2,OctDom1+9)</f>
        <v>40820</v>
      </c>
      <c r="E5" s="10">
        <f>IF(DAY(OctDom1)=1,OctDom1+3,OctDom1+10)</f>
        <v>40821</v>
      </c>
      <c r="F5" s="10">
        <f>IF(DAY(OctDom1)=1,OctDom1+4,OctDom1+11)</f>
        <v>40822</v>
      </c>
      <c r="G5" s="10">
        <f>IF(DAY(OctDom1)=1,OctDom1+5,OctDom1+12)</f>
        <v>40823</v>
      </c>
      <c r="H5" s="10">
        <f>IF(DAY(OctDom1)=1,OctDom1+6,OctDom1+13)</f>
        <v>40824</v>
      </c>
      <c r="I5" s="10">
        <f>IF(DAY(OctDom1)=1,OctDom1+7,OctDom1+14)</f>
        <v>40825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IF(DAY(OctDom1)=1,OctDom1+8,OctDom1+15)</f>
        <v>40826</v>
      </c>
      <c r="D6" s="10">
        <f>IF(DAY(OctDom1)=1,OctDom1+9,OctDom1+16)</f>
        <v>40827</v>
      </c>
      <c r="E6" s="10">
        <f>IF(DAY(OctDom1)=1,OctDom1+10,OctDom1+17)</f>
        <v>40828</v>
      </c>
      <c r="F6" s="10">
        <f>IF(DAY(OctDom1)=1,OctDom1+11,OctDom1+18)</f>
        <v>40829</v>
      </c>
      <c r="G6" s="10">
        <f>IF(DAY(OctDom1)=1,OctDom1+12,OctDom1+19)</f>
        <v>40830</v>
      </c>
      <c r="H6" s="10">
        <f>IF(DAY(OctDom1)=1,OctDom1+13,OctDom1+20)</f>
        <v>40831</v>
      </c>
      <c r="I6" s="10">
        <f>IF(DAY(OctDom1)=1,OctDom1+14,OctDom1+21)</f>
        <v>40832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IF(DAY(OctDom1)=1,OctDom1+15,OctDom1+22)</f>
        <v>40833</v>
      </c>
      <c r="D7" s="10">
        <f>IF(DAY(OctDom1)=1,OctDom1+16,OctDom1+23)</f>
        <v>40834</v>
      </c>
      <c r="E7" s="10">
        <f>IF(DAY(OctDom1)=1,OctDom1+17,OctDom1+24)</f>
        <v>40835</v>
      </c>
      <c r="F7" s="10">
        <f>IF(DAY(OctDom1)=1,OctDom1+18,OctDom1+25)</f>
        <v>40836</v>
      </c>
      <c r="G7" s="10">
        <f>IF(DAY(OctDom1)=1,OctDom1+19,OctDom1+26)</f>
        <v>40837</v>
      </c>
      <c r="H7" s="10">
        <f>IF(DAY(OctDom1)=1,OctDom1+20,OctDom1+27)</f>
        <v>40838</v>
      </c>
      <c r="I7" s="10">
        <f>IF(DAY(OctDom1)=1,OctDom1+21,OctDom1+28)</f>
        <v>40839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IF(DAY(OctDom1)=1,OctDom1+22,OctDom1+29)</f>
        <v>40840</v>
      </c>
      <c r="D8" s="10">
        <f>IF(DAY(OctDom1)=1,OctDom1+23,OctDom1+30)</f>
        <v>40841</v>
      </c>
      <c r="E8" s="10">
        <f>IF(DAY(OctDom1)=1,OctDom1+24,OctDom1+31)</f>
        <v>40842</v>
      </c>
      <c r="F8" s="10">
        <f>IF(DAY(OctDom1)=1,OctDom1+25,OctDom1+32)</f>
        <v>40843</v>
      </c>
      <c r="G8" s="10">
        <f>IF(DAY(OctDom1)=1,OctDom1+26,OctDom1+33)</f>
        <v>40844</v>
      </c>
      <c r="H8" s="10">
        <f>IF(DAY(OctDom1)=1,OctDom1+27,OctDom1+34)</f>
        <v>40845</v>
      </c>
      <c r="I8" s="10">
        <f>IF(DAY(OctDom1)=1,OctDom1+28,OctDom1+35)</f>
        <v>40846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IF(DAY(OctDom1)=1,OctDom1+29,OctDom1+36)</f>
        <v>40847</v>
      </c>
      <c r="D9" s="10">
        <f>IF(DAY(OctDom1)=1,OctDom1+30,OctDom1+37)</f>
        <v>40848</v>
      </c>
      <c r="E9" s="10">
        <f>IF(DAY(OctDom1)=1,OctDom1+31,OctDom1+38)</f>
        <v>40849</v>
      </c>
      <c r="F9" s="10">
        <f>IF(DAY(OctDom1)=1,OctDom1+32,OctDom1+39)</f>
        <v>40850</v>
      </c>
      <c r="G9" s="10">
        <f>IF(DAY(OctDom1)=1,OctDom1+33,OctDom1+40)</f>
        <v>40851</v>
      </c>
      <c r="H9" s="10">
        <f>IF(DAY(OctDom1)=1,OctDom1+34,OctDom1+41)</f>
        <v>40852</v>
      </c>
      <c r="I9" s="10">
        <f>IF(DAY(OctDom1)=1,OctDom1+35,OctDom1+42)</f>
        <v>40853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17</v>
      </c>
      <c r="L10" s="16"/>
      <c r="M10" s="33"/>
      <c r="N10" s="34"/>
    </row>
    <row r="11" spans="1:14" ht="18" customHeight="1" x14ac:dyDescent="0.2">
      <c r="A11" s="4"/>
      <c r="B11" s="69" t="s">
        <v>15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16</v>
      </c>
      <c r="C13" s="37" t="s">
        <v>17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VLOOKUP(DAY(C4),DíasDeTareas,1,FALSE)=DAY(C4)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K2" sqref="K2:M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26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IF(DAY(NovDom1)=1,NovDom1-6,NovDom1+1)</f>
        <v>40847</v>
      </c>
      <c r="D4" s="10">
        <f>IF(DAY(NovDom1)=1,NovDom1-5,NovDom1+2)</f>
        <v>40848</v>
      </c>
      <c r="E4" s="10">
        <f>IF(DAY(NovDom1)=1,NovDom1-4,NovDom1+3)</f>
        <v>40849</v>
      </c>
      <c r="F4" s="10">
        <f>IF(DAY(NovDom1)=1,NovDom1-3,NovDom1+4)</f>
        <v>40850</v>
      </c>
      <c r="G4" s="10">
        <f>IF(DAY(NovDom1)=1,NovDom1-2,NovDom1+5)</f>
        <v>40851</v>
      </c>
      <c r="H4" s="10">
        <f>IF(DAY(NovDom1)=1,NovDom1-1,NovDom1+6)</f>
        <v>40852</v>
      </c>
      <c r="I4" s="10">
        <f>IF(DAY(NovDom1)=1,NovDom1,NovDom1+7)</f>
        <v>40853</v>
      </c>
      <c r="J4" s="5"/>
      <c r="K4" s="44" t="s">
        <v>16</v>
      </c>
      <c r="L4" s="16"/>
      <c r="M4" s="45"/>
      <c r="N4" s="46"/>
    </row>
    <row r="5" spans="1:14" ht="18" customHeight="1" x14ac:dyDescent="0.2">
      <c r="A5" s="4"/>
      <c r="B5" s="67"/>
      <c r="C5" s="10">
        <f>IF(DAY(NovDom1)=1,NovDom1+1,NovDom1+8)</f>
        <v>40854</v>
      </c>
      <c r="D5" s="10">
        <f>IF(DAY(NovDom1)=1,NovDom1+2,NovDom1+9)</f>
        <v>40855</v>
      </c>
      <c r="E5" s="10">
        <f>IF(DAY(NovDom1)=1,NovDom1+3,NovDom1+10)</f>
        <v>40856</v>
      </c>
      <c r="F5" s="10">
        <f>IF(DAY(NovDom1)=1,NovDom1+4,NovDom1+11)</f>
        <v>40857</v>
      </c>
      <c r="G5" s="10">
        <f>IF(DAY(NovDom1)=1,NovDom1+5,NovDom1+12)</f>
        <v>40858</v>
      </c>
      <c r="H5" s="10">
        <f>IF(DAY(NovDom1)=1,NovDom1+6,NovDom1+13)</f>
        <v>40859</v>
      </c>
      <c r="I5" s="10">
        <f>IF(DAY(NovDom1)=1,NovDom1+7,NovDom1+14)</f>
        <v>40860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IF(DAY(NovDom1)=1,NovDom1+8,NovDom1+15)</f>
        <v>40861</v>
      </c>
      <c r="D6" s="10">
        <f>IF(DAY(NovDom1)=1,NovDom1+9,NovDom1+16)</f>
        <v>40862</v>
      </c>
      <c r="E6" s="10">
        <f>IF(DAY(NovDom1)=1,NovDom1+10,NovDom1+17)</f>
        <v>40863</v>
      </c>
      <c r="F6" s="10">
        <f>IF(DAY(NovDom1)=1,NovDom1+11,NovDom1+18)</f>
        <v>40864</v>
      </c>
      <c r="G6" s="10">
        <f>IF(DAY(NovDom1)=1,NovDom1+12,NovDom1+19)</f>
        <v>40865</v>
      </c>
      <c r="H6" s="10">
        <f>IF(DAY(NovDom1)=1,NovDom1+13,NovDom1+20)</f>
        <v>40866</v>
      </c>
      <c r="I6" s="10">
        <f>IF(DAY(NovDom1)=1,NovDom1+14,NovDom1+21)</f>
        <v>40867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IF(DAY(NovDom1)=1,NovDom1+15,NovDom1+22)</f>
        <v>40868</v>
      </c>
      <c r="D7" s="10">
        <f>IF(DAY(NovDom1)=1,NovDom1+16,NovDom1+23)</f>
        <v>40869</v>
      </c>
      <c r="E7" s="10">
        <f>IF(DAY(NovDom1)=1,NovDom1+17,NovDom1+24)</f>
        <v>40870</v>
      </c>
      <c r="F7" s="10">
        <f>IF(DAY(NovDom1)=1,NovDom1+18,NovDom1+25)</f>
        <v>40871</v>
      </c>
      <c r="G7" s="10">
        <f>IF(DAY(NovDom1)=1,NovDom1+19,NovDom1+26)</f>
        <v>40872</v>
      </c>
      <c r="H7" s="10">
        <f>IF(DAY(NovDom1)=1,NovDom1+20,NovDom1+27)</f>
        <v>40873</v>
      </c>
      <c r="I7" s="10">
        <f>IF(DAY(NovDom1)=1,NovDom1+21,NovDom1+28)</f>
        <v>40874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IF(DAY(NovDom1)=1,NovDom1+22,NovDom1+29)</f>
        <v>40875</v>
      </c>
      <c r="D8" s="10">
        <f>IF(DAY(NovDom1)=1,NovDom1+23,NovDom1+30)</f>
        <v>40876</v>
      </c>
      <c r="E8" s="10">
        <f>IF(DAY(NovDom1)=1,NovDom1+24,NovDom1+31)</f>
        <v>40877</v>
      </c>
      <c r="F8" s="10">
        <f>IF(DAY(NovDom1)=1,NovDom1+25,NovDom1+32)</f>
        <v>40878</v>
      </c>
      <c r="G8" s="10">
        <f>IF(DAY(NovDom1)=1,NovDom1+26,NovDom1+33)</f>
        <v>40879</v>
      </c>
      <c r="H8" s="10">
        <f>IF(DAY(NovDom1)=1,NovDom1+27,NovDom1+34)</f>
        <v>40880</v>
      </c>
      <c r="I8" s="10">
        <f>IF(DAY(NovDom1)=1,NovDom1+28,NovDom1+35)</f>
        <v>40881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IF(DAY(NovDom1)=1,NovDom1+29,NovDom1+36)</f>
        <v>40882</v>
      </c>
      <c r="D9" s="10">
        <f>IF(DAY(NovDom1)=1,NovDom1+30,NovDom1+37)</f>
        <v>40883</v>
      </c>
      <c r="E9" s="10">
        <f>IF(DAY(NovDom1)=1,NovDom1+31,NovDom1+38)</f>
        <v>40884</v>
      </c>
      <c r="F9" s="10">
        <f>IF(DAY(NovDom1)=1,NovDom1+32,NovDom1+39)</f>
        <v>40885</v>
      </c>
      <c r="G9" s="10">
        <f>IF(DAY(NovDom1)=1,NovDom1+33,NovDom1+40)</f>
        <v>40886</v>
      </c>
      <c r="H9" s="10">
        <f>IF(DAY(NovDom1)=1,NovDom1+34,NovDom1+41)</f>
        <v>40887</v>
      </c>
      <c r="I9" s="10">
        <f>IF(DAY(NovDom1)=1,NovDom1+35,NovDom1+42)</f>
        <v>40888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17</v>
      </c>
      <c r="L10" s="16"/>
      <c r="M10" s="33"/>
      <c r="N10" s="34"/>
    </row>
    <row r="11" spans="1:14" ht="18" customHeight="1" x14ac:dyDescent="0.2">
      <c r="A11" s="4"/>
      <c r="B11" s="69" t="s">
        <v>15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16</v>
      </c>
      <c r="C13" s="37" t="s">
        <v>17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VLOOKUP(DAY(C4),DíasDeTareas,1,FALSE)=DAY(C4)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H9" sqref="H9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14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IF(DAY(DicDom1)=1,DicDom1-6,DicDom1+1)</f>
        <v>40875</v>
      </c>
      <c r="D4" s="10">
        <f>IF(DAY(DicDom1)=1,DicDom1-5,DicDom1+2)</f>
        <v>40876</v>
      </c>
      <c r="E4" s="10">
        <f>IF(DAY(DicDom1)=1,DicDom1-4,DicDom1+3)</f>
        <v>40877</v>
      </c>
      <c r="F4" s="10">
        <f>IF(DAY(DicDom1)=1,DicDom1-3,DicDom1+4)</f>
        <v>40878</v>
      </c>
      <c r="G4" s="10">
        <f>IF(DAY(DicDom1)=1,DicDom1-2,DicDom1+5)</f>
        <v>40879</v>
      </c>
      <c r="H4" s="10">
        <f>IF(DAY(DicDom1)=1,DicDom1-1,DicDom1+6)</f>
        <v>40880</v>
      </c>
      <c r="I4" s="10">
        <f>IF(DAY(DicDom1)=1,DicDom1,DicDom1+7)</f>
        <v>40881</v>
      </c>
      <c r="J4" s="5"/>
      <c r="K4" s="44" t="s">
        <v>16</v>
      </c>
      <c r="L4" s="16"/>
      <c r="M4" s="45"/>
      <c r="N4" s="46"/>
    </row>
    <row r="5" spans="1:14" ht="18" customHeight="1" x14ac:dyDescent="0.2">
      <c r="A5" s="4"/>
      <c r="B5" s="67"/>
      <c r="C5" s="10">
        <f>IF(DAY(DicDom1)=1,DicDom1+1,DicDom1+8)</f>
        <v>40882</v>
      </c>
      <c r="D5" s="10">
        <f>IF(DAY(DicDom1)=1,DicDom1+2,DicDom1+9)</f>
        <v>40883</v>
      </c>
      <c r="E5" s="10">
        <f>IF(DAY(DicDom1)=1,DicDom1+3,DicDom1+10)</f>
        <v>40884</v>
      </c>
      <c r="F5" s="10">
        <f>IF(DAY(DicDom1)=1,DicDom1+4,DicDom1+11)</f>
        <v>40885</v>
      </c>
      <c r="G5" s="10">
        <f>IF(DAY(DicDom1)=1,DicDom1+5,DicDom1+12)</f>
        <v>40886</v>
      </c>
      <c r="H5" s="10">
        <f>IF(DAY(DicDom1)=1,DicDom1+6,DicDom1+13)</f>
        <v>40887</v>
      </c>
      <c r="I5" s="10">
        <f>IF(DAY(DicDom1)=1,DicDom1+7,DicDom1+14)</f>
        <v>40888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IF(DAY(DicDom1)=1,DicDom1+8,DicDom1+15)</f>
        <v>40889</v>
      </c>
      <c r="D6" s="10">
        <f>IF(DAY(DicDom1)=1,DicDom1+9,DicDom1+16)</f>
        <v>40890</v>
      </c>
      <c r="E6" s="10">
        <f>IF(DAY(DicDom1)=1,DicDom1+10,DicDom1+17)</f>
        <v>40891</v>
      </c>
      <c r="F6" s="10">
        <f>IF(DAY(DicDom1)=1,DicDom1+11,DicDom1+18)</f>
        <v>40892</v>
      </c>
      <c r="G6" s="10">
        <f>IF(DAY(DicDom1)=1,DicDom1+12,DicDom1+19)</f>
        <v>40893</v>
      </c>
      <c r="H6" s="10">
        <f>IF(DAY(DicDom1)=1,DicDom1+13,DicDom1+20)</f>
        <v>40894</v>
      </c>
      <c r="I6" s="10">
        <f>IF(DAY(DicDom1)=1,DicDom1+14,DicDom1+21)</f>
        <v>40895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IF(DAY(DicDom1)=1,DicDom1+15,DicDom1+22)</f>
        <v>40896</v>
      </c>
      <c r="D7" s="10">
        <f>IF(DAY(DicDom1)=1,DicDom1+16,DicDom1+23)</f>
        <v>40897</v>
      </c>
      <c r="E7" s="10">
        <f>IF(DAY(DicDom1)=1,DicDom1+17,DicDom1+24)</f>
        <v>40898</v>
      </c>
      <c r="F7" s="10">
        <f>IF(DAY(DicDom1)=1,DicDom1+18,DicDom1+25)</f>
        <v>40899</v>
      </c>
      <c r="G7" s="10">
        <f>IF(DAY(DicDom1)=1,DicDom1+19,DicDom1+26)</f>
        <v>40900</v>
      </c>
      <c r="H7" s="10">
        <f>IF(DAY(DicDom1)=1,DicDom1+20,DicDom1+27)</f>
        <v>40901</v>
      </c>
      <c r="I7" s="10">
        <f>IF(DAY(DicDom1)=1,DicDom1+21,DicDom1+28)</f>
        <v>40902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IF(DAY(DicDom1)=1,DicDom1+22,DicDom1+29)</f>
        <v>40903</v>
      </c>
      <c r="D8" s="10">
        <f>IF(DAY(DicDom1)=1,DicDom1+23,DicDom1+30)</f>
        <v>40904</v>
      </c>
      <c r="E8" s="10">
        <f>IF(DAY(DicDom1)=1,DicDom1+24,DicDom1+31)</f>
        <v>40905</v>
      </c>
      <c r="F8" s="10">
        <f>IF(DAY(DicDom1)=1,DicDom1+25,DicDom1+32)</f>
        <v>40906</v>
      </c>
      <c r="G8" s="10">
        <f>IF(DAY(DicDom1)=1,DicDom1+26,DicDom1+33)</f>
        <v>40907</v>
      </c>
      <c r="H8" s="10">
        <f>IF(DAY(DicDom1)=1,DicDom1+27,DicDom1+34)</f>
        <v>40908</v>
      </c>
      <c r="I8" s="10">
        <f>IF(DAY(DicDom1)=1,DicDom1+28,DicDom1+35)</f>
        <v>40909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IF(DAY(DicDom1)=1,DicDom1+29,DicDom1+36)</f>
        <v>40910</v>
      </c>
      <c r="D9" s="10">
        <f>IF(DAY(DicDom1)=1,DicDom1+30,DicDom1+37)</f>
        <v>40911</v>
      </c>
      <c r="E9" s="10">
        <f>IF(DAY(DicDom1)=1,DicDom1+31,DicDom1+38)</f>
        <v>40912</v>
      </c>
      <c r="F9" s="10">
        <f>IF(DAY(DicDom1)=1,DicDom1+32,DicDom1+39)</f>
        <v>40913</v>
      </c>
      <c r="G9" s="10">
        <f>IF(DAY(DicDom1)=1,DicDom1+33,DicDom1+40)</f>
        <v>40914</v>
      </c>
      <c r="H9" s="10">
        <f>IF(DAY(DicDom1)=1,DicDom1+34,DicDom1+41)</f>
        <v>40915</v>
      </c>
      <c r="I9" s="10">
        <f>IF(DAY(DicDom1)=1,DicDom1+35,DicDom1+42)</f>
        <v>40916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17</v>
      </c>
      <c r="L10" s="16"/>
      <c r="M10" s="33"/>
      <c r="N10" s="34"/>
    </row>
    <row r="11" spans="1:14" ht="18" customHeight="1" x14ac:dyDescent="0.2">
      <c r="A11" s="4"/>
      <c r="B11" s="69" t="s">
        <v>15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16</v>
      </c>
      <c r="C13" s="37" t="s">
        <v>17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VLOOKUP(DAY(C4),DíasDeTareas,1,FALSE)=DAY(C4)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K2" sqref="K2:M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35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IF(DAY(FebDom1)=1,FebDom1-6,FebDom1+1)</f>
        <v>40574</v>
      </c>
      <c r="D4" s="10">
        <f>IF(DAY(FebDom1)=1,FebDom1-5,FebDom1+2)</f>
        <v>40575</v>
      </c>
      <c r="E4" s="10">
        <f>IF(DAY(FebDom1)=1,FebDom1-4,FebDom1+3)</f>
        <v>40576</v>
      </c>
      <c r="F4" s="10">
        <f>IF(DAY(FebDom1)=1,FebDom1-3,FebDom1+4)</f>
        <v>40577</v>
      </c>
      <c r="G4" s="10">
        <f>IF(DAY(FebDom1)=1,FebDom1-2,FebDom1+5)</f>
        <v>40578</v>
      </c>
      <c r="H4" s="10">
        <f>IF(DAY(FebDom1)=1,FebDom1-1,FebDom1+6)</f>
        <v>40579</v>
      </c>
      <c r="I4" s="10">
        <f>IF(DAY(FebDom1)=1,FebDom1,FebDom1+7)</f>
        <v>40580</v>
      </c>
      <c r="J4" s="5"/>
      <c r="K4" s="44" t="s">
        <v>16</v>
      </c>
      <c r="L4" s="16"/>
      <c r="M4" s="45"/>
      <c r="N4" s="46"/>
    </row>
    <row r="5" spans="1:14" ht="18" customHeight="1" x14ac:dyDescent="0.2">
      <c r="A5" s="4"/>
      <c r="B5" s="67"/>
      <c r="C5" s="10">
        <f>IF(DAY(FebDom1)=1,FebDom1+1,FebDom1+8)</f>
        <v>40581</v>
      </c>
      <c r="D5" s="10">
        <f>IF(DAY(FebDom1)=1,FebDom1+2,FebDom1+9)</f>
        <v>40582</v>
      </c>
      <c r="E5" s="10">
        <f>IF(DAY(FebDom1)=1,FebDom1+3,FebDom1+10)</f>
        <v>40583</v>
      </c>
      <c r="F5" s="10">
        <f>IF(DAY(FebDom1)=1,FebDom1+4,FebDom1+11)</f>
        <v>40584</v>
      </c>
      <c r="G5" s="10">
        <f>IF(DAY(FebDom1)=1,FebDom1+5,FebDom1+12)</f>
        <v>40585</v>
      </c>
      <c r="H5" s="10">
        <f>IF(DAY(FebDom1)=1,FebDom1+6,FebDom1+13)</f>
        <v>40586</v>
      </c>
      <c r="I5" s="10">
        <f>IF(DAY(FebDom1)=1,FebDom1+7,FebDom1+14)</f>
        <v>40587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IF(DAY(FebDom1)=1,FebDom1+8,FebDom1+15)</f>
        <v>40588</v>
      </c>
      <c r="D6" s="10">
        <f>IF(DAY(FebDom1)=1,FebDom1+9,FebDom1+16)</f>
        <v>40589</v>
      </c>
      <c r="E6" s="10">
        <f>IF(DAY(FebDom1)=1,FebDom1+10,FebDom1+17)</f>
        <v>40590</v>
      </c>
      <c r="F6" s="10">
        <f>IF(DAY(FebDom1)=1,FebDom1+11,FebDom1+18)</f>
        <v>40591</v>
      </c>
      <c r="G6" s="10">
        <f>IF(DAY(FebDom1)=1,FebDom1+12,FebDom1+19)</f>
        <v>40592</v>
      </c>
      <c r="H6" s="10">
        <f>IF(DAY(FebDom1)=1,FebDom1+13,FebDom1+20)</f>
        <v>40593</v>
      </c>
      <c r="I6" s="10">
        <f>IF(DAY(FebDom1)=1,FebDom1+14,FebDom1+21)</f>
        <v>40594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IF(DAY(FebDom1)=1,FebDom1+15,FebDom1+22)</f>
        <v>40595</v>
      </c>
      <c r="D7" s="10">
        <f>IF(DAY(FebDom1)=1,FebDom1+16,FebDom1+23)</f>
        <v>40596</v>
      </c>
      <c r="E7" s="10">
        <f>IF(DAY(FebDom1)=1,FebDom1+17,FebDom1+24)</f>
        <v>40597</v>
      </c>
      <c r="F7" s="10">
        <f>IF(DAY(FebDom1)=1,FebDom1+18,FebDom1+25)</f>
        <v>40598</v>
      </c>
      <c r="G7" s="10">
        <f>IF(DAY(FebDom1)=1,FebDom1+19,FebDom1+26)</f>
        <v>40599</v>
      </c>
      <c r="H7" s="10">
        <f>IF(DAY(FebDom1)=1,FebDom1+20,FebDom1+27)</f>
        <v>40600</v>
      </c>
      <c r="I7" s="10">
        <f>IF(DAY(FebDom1)=1,FebDom1+21,FebDom1+28)</f>
        <v>40601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IF(DAY(FebDom1)=1,FebDom1+22,FebDom1+29)</f>
        <v>40602</v>
      </c>
      <c r="D8" s="10">
        <f>IF(DAY(FebDom1)=1,FebDom1+23,FebDom1+30)</f>
        <v>40603</v>
      </c>
      <c r="E8" s="10">
        <f>IF(DAY(FebDom1)=1,FebDom1+24,FebDom1+31)</f>
        <v>40604</v>
      </c>
      <c r="F8" s="10">
        <f>IF(DAY(FebDom1)=1,FebDom1+25,FebDom1+32)</f>
        <v>40605</v>
      </c>
      <c r="G8" s="10">
        <f>IF(DAY(FebDom1)=1,FebDom1+26,FebDom1+33)</f>
        <v>40606</v>
      </c>
      <c r="H8" s="10">
        <f>IF(DAY(FebDom1)=1,FebDom1+27,FebDom1+34)</f>
        <v>40607</v>
      </c>
      <c r="I8" s="10">
        <f>IF(DAY(FebDom1)=1,FebDom1+28,FebDom1+35)</f>
        <v>40608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IF(DAY(FebDom1)=1,FebDom1+29,FebDom1+36)</f>
        <v>40609</v>
      </c>
      <c r="D9" s="10">
        <f>IF(DAY(FebDom1)=1,FebDom1+30,FebDom1+37)</f>
        <v>40610</v>
      </c>
      <c r="E9" s="10">
        <f>IF(DAY(FebDom1)=1,FebDom1+31,FebDom1+38)</f>
        <v>40611</v>
      </c>
      <c r="F9" s="10">
        <f>IF(DAY(FebDom1)=1,FebDom1+32,FebDom1+39)</f>
        <v>40612</v>
      </c>
      <c r="G9" s="10">
        <f>IF(DAY(FebDom1)=1,FebDom1+33,FebDom1+40)</f>
        <v>40613</v>
      </c>
      <c r="H9" s="10">
        <f>IF(DAY(FebDom1)=1,FebDom1+34,FebDom1+41)</f>
        <v>40614</v>
      </c>
      <c r="I9" s="10">
        <f>IF(DAY(FebDom1)=1,FebDom1+35,FebDom1+42)</f>
        <v>40615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17</v>
      </c>
      <c r="L10" s="16"/>
      <c r="M10" s="33"/>
      <c r="N10" s="34"/>
    </row>
    <row r="11" spans="1:14" ht="18" customHeight="1" x14ac:dyDescent="0.2">
      <c r="A11" s="4"/>
      <c r="B11" s="69" t="s">
        <v>15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16</v>
      </c>
      <c r="C13" s="37" t="s">
        <v>17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VLOOKUP(DAY(C4),DíasDeTareas,1,FALSE)=DAY(C4)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K2" sqref="K2:M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34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IF(DAY(MarDom1)=1,MarDom1-6,MarDom1+1)</f>
        <v>40602</v>
      </c>
      <c r="D4" s="10">
        <f>IF(DAY(MarDom1)=1,MarDom1-5,MarDom1+2)</f>
        <v>40603</v>
      </c>
      <c r="E4" s="10">
        <f>IF(DAY(MarDom1)=1,MarDom1-4,MarDom1+3)</f>
        <v>40604</v>
      </c>
      <c r="F4" s="10">
        <f>IF(DAY(MarDom1)=1,MarDom1-3,MarDom1+4)</f>
        <v>40605</v>
      </c>
      <c r="G4" s="10">
        <f>IF(DAY(MarDom1)=1,MarDom1-2,MarDom1+5)</f>
        <v>40606</v>
      </c>
      <c r="H4" s="10">
        <f>IF(DAY(MarDom1)=1,MarDom1-1,MarDom1+6)</f>
        <v>40607</v>
      </c>
      <c r="I4" s="10">
        <f>IF(DAY(MarDom1)=1,MarDom1,MarDom1+7)</f>
        <v>40608</v>
      </c>
      <c r="J4" s="5"/>
      <c r="K4" s="44" t="s">
        <v>16</v>
      </c>
      <c r="L4" s="16"/>
      <c r="M4" s="45"/>
      <c r="N4" s="46"/>
    </row>
    <row r="5" spans="1:14" ht="18" customHeight="1" x14ac:dyDescent="0.2">
      <c r="A5" s="4"/>
      <c r="B5" s="67"/>
      <c r="C5" s="10">
        <f>IF(DAY(MarDom1)=1,MarDom1+1,MarDom1+8)</f>
        <v>40609</v>
      </c>
      <c r="D5" s="10">
        <f>IF(DAY(MarDom1)=1,MarDom1+2,MarDom1+9)</f>
        <v>40610</v>
      </c>
      <c r="E5" s="10">
        <f>IF(DAY(MarDom1)=1,MarDom1+3,MarDom1+10)</f>
        <v>40611</v>
      </c>
      <c r="F5" s="10">
        <f>IF(DAY(MarDom1)=1,MarDom1+4,MarDom1+11)</f>
        <v>40612</v>
      </c>
      <c r="G5" s="10">
        <f>IF(DAY(MarDom1)=1,MarDom1+5,MarDom1+12)</f>
        <v>40613</v>
      </c>
      <c r="H5" s="10">
        <f>IF(DAY(MarDom1)=1,MarDom1+6,MarDom1+13)</f>
        <v>40614</v>
      </c>
      <c r="I5" s="10">
        <f>IF(DAY(MarDom1)=1,MarDom1+7,MarDom1+14)</f>
        <v>40615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IF(DAY(MarDom1)=1,MarDom1+8,MarDom1+15)</f>
        <v>40616</v>
      </c>
      <c r="D6" s="10">
        <f>IF(DAY(MarDom1)=1,MarDom1+9,MarDom1+16)</f>
        <v>40617</v>
      </c>
      <c r="E6" s="10">
        <f>IF(DAY(MarDom1)=1,MarDom1+10,MarDom1+17)</f>
        <v>40618</v>
      </c>
      <c r="F6" s="10">
        <f>IF(DAY(MarDom1)=1,MarDom1+11,MarDom1+18)</f>
        <v>40619</v>
      </c>
      <c r="G6" s="10">
        <f>IF(DAY(MarDom1)=1,MarDom1+12,MarDom1+19)</f>
        <v>40620</v>
      </c>
      <c r="H6" s="10">
        <f>IF(DAY(MarDom1)=1,MarDom1+13,MarDom1+20)</f>
        <v>40621</v>
      </c>
      <c r="I6" s="10">
        <f>IF(DAY(MarDom1)=1,MarDom1+14,MarDom1+21)</f>
        <v>40622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IF(DAY(MarDom1)=1,MarDom1+15,MarDom1+22)</f>
        <v>40623</v>
      </c>
      <c r="D7" s="10">
        <f>IF(DAY(MarDom1)=1,MarDom1+16,MarDom1+23)</f>
        <v>40624</v>
      </c>
      <c r="E7" s="10">
        <f>IF(DAY(MarDom1)=1,MarDom1+17,MarDom1+24)</f>
        <v>40625</v>
      </c>
      <c r="F7" s="10">
        <f>IF(DAY(MarDom1)=1,MarDom1+18,MarDom1+25)</f>
        <v>40626</v>
      </c>
      <c r="G7" s="10">
        <f>IF(DAY(MarDom1)=1,MarDom1+19,MarDom1+26)</f>
        <v>40627</v>
      </c>
      <c r="H7" s="10">
        <f>IF(DAY(MarDom1)=1,MarDom1+20,MarDom1+27)</f>
        <v>40628</v>
      </c>
      <c r="I7" s="10">
        <f>IF(DAY(MarDom1)=1,MarDom1+21,MarDom1+28)</f>
        <v>40629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IF(DAY(MarDom1)=1,MarDom1+22,MarDom1+29)</f>
        <v>40630</v>
      </c>
      <c r="D8" s="10">
        <f>IF(DAY(MarDom1)=1,MarDom1+23,MarDom1+30)</f>
        <v>40631</v>
      </c>
      <c r="E8" s="10">
        <f>IF(DAY(MarDom1)=1,MarDom1+24,MarDom1+31)</f>
        <v>40632</v>
      </c>
      <c r="F8" s="10">
        <f>IF(DAY(MarDom1)=1,MarDom1+25,MarDom1+32)</f>
        <v>40633</v>
      </c>
      <c r="G8" s="10">
        <f>IF(DAY(MarDom1)=1,MarDom1+26,MarDom1+33)</f>
        <v>40634</v>
      </c>
      <c r="H8" s="10">
        <f>IF(DAY(MarDom1)=1,MarDom1+27,MarDom1+34)</f>
        <v>40635</v>
      </c>
      <c r="I8" s="10">
        <f>IF(DAY(MarDom1)=1,MarDom1+28,MarDom1+35)</f>
        <v>40636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IF(DAY(MarDom1)=1,MarDom1+29,MarDom1+36)</f>
        <v>40637</v>
      </c>
      <c r="D9" s="10">
        <f>IF(DAY(MarDom1)=1,MarDom1+30,MarDom1+37)</f>
        <v>40638</v>
      </c>
      <c r="E9" s="10">
        <f>IF(DAY(MarDom1)=1,MarDom1+31,MarDom1+38)</f>
        <v>40639</v>
      </c>
      <c r="F9" s="10">
        <f>IF(DAY(MarDom1)=1,MarDom1+32,MarDom1+39)</f>
        <v>40640</v>
      </c>
      <c r="G9" s="10">
        <f>IF(DAY(MarDom1)=1,MarDom1+33,MarDom1+40)</f>
        <v>40641</v>
      </c>
      <c r="H9" s="10">
        <f>IF(DAY(MarDom1)=1,MarDom1+34,MarDom1+41)</f>
        <v>40642</v>
      </c>
      <c r="I9" s="10">
        <f>IF(DAY(MarDom1)=1,MarDom1+35,MarDom1+42)</f>
        <v>40643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17</v>
      </c>
      <c r="L10" s="16"/>
      <c r="M10" s="33"/>
      <c r="N10" s="34"/>
    </row>
    <row r="11" spans="1:14" ht="18" customHeight="1" x14ac:dyDescent="0.2">
      <c r="A11" s="4"/>
      <c r="B11" s="69" t="s">
        <v>15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16</v>
      </c>
      <c r="C13" s="37" t="s">
        <v>17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VLOOKUP(DAY(C4),DíasDeTareas,1,FALSE)=DAY(C4)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K2" sqref="K2:M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33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IF(DAY(AbrDom1)=1,AbrDom1-6,AbrDom1+1)</f>
        <v>40630</v>
      </c>
      <c r="D4" s="10">
        <f>IF(DAY(AbrDom1)=1,AbrDom1-5,AbrDom1+2)</f>
        <v>40631</v>
      </c>
      <c r="E4" s="10">
        <f>IF(DAY(AbrDom1)=1,AbrDom1-4,AbrDom1+3)</f>
        <v>40632</v>
      </c>
      <c r="F4" s="10">
        <f>IF(DAY(AbrDom1)=1,AbrDom1-3,AbrDom1+4)</f>
        <v>40633</v>
      </c>
      <c r="G4" s="10">
        <f>IF(DAY(AbrDom1)=1,AbrDom1-2,AbrDom1+5)</f>
        <v>40634</v>
      </c>
      <c r="H4" s="10">
        <f>IF(DAY(AbrDom1)=1,AbrDom1-1,AbrDom1+6)</f>
        <v>40635</v>
      </c>
      <c r="I4" s="10">
        <f>IF(DAY(AbrDom1)=1,AbrDom1,AbrDom1+7)</f>
        <v>40636</v>
      </c>
      <c r="J4" s="5"/>
      <c r="K4" s="44" t="s">
        <v>16</v>
      </c>
      <c r="L4" s="16"/>
      <c r="M4" s="45"/>
      <c r="N4" s="46"/>
    </row>
    <row r="5" spans="1:14" ht="18" customHeight="1" x14ac:dyDescent="0.2">
      <c r="A5" s="4"/>
      <c r="B5" s="67"/>
      <c r="C5" s="10">
        <f>IF(DAY(AbrDom1)=1,AbrDom1+1,AbrDom1+8)</f>
        <v>40637</v>
      </c>
      <c r="D5" s="10">
        <f>IF(DAY(AbrDom1)=1,AbrDom1+2,AbrDom1+9)</f>
        <v>40638</v>
      </c>
      <c r="E5" s="10">
        <f>IF(DAY(AbrDom1)=1,AbrDom1+3,AbrDom1+10)</f>
        <v>40639</v>
      </c>
      <c r="F5" s="10">
        <f>IF(DAY(AbrDom1)=1,AbrDom1+4,AbrDom1+11)</f>
        <v>40640</v>
      </c>
      <c r="G5" s="10">
        <f>IF(DAY(AbrDom1)=1,AbrDom1+5,AbrDom1+12)</f>
        <v>40641</v>
      </c>
      <c r="H5" s="10">
        <f>IF(DAY(AbrDom1)=1,AbrDom1+6,AbrDom1+13)</f>
        <v>40642</v>
      </c>
      <c r="I5" s="10">
        <f>IF(DAY(AbrDom1)=1,AbrDom1+7,AbrDom1+14)</f>
        <v>40643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IF(DAY(AbrDom1)=1,AbrDom1+8,AbrDom1+15)</f>
        <v>40644</v>
      </c>
      <c r="D6" s="10">
        <f>IF(DAY(AbrDom1)=1,AbrDom1+9,AbrDom1+16)</f>
        <v>40645</v>
      </c>
      <c r="E6" s="10">
        <f>IF(DAY(AbrDom1)=1,AbrDom1+10,AbrDom1+17)</f>
        <v>40646</v>
      </c>
      <c r="F6" s="10">
        <f>IF(DAY(AbrDom1)=1,AbrDom1+11,AbrDom1+18)</f>
        <v>40647</v>
      </c>
      <c r="G6" s="10">
        <f>IF(DAY(AbrDom1)=1,AbrDom1+12,AbrDom1+19)</f>
        <v>40648</v>
      </c>
      <c r="H6" s="10">
        <f>IF(DAY(AbrDom1)=1,AbrDom1+13,AbrDom1+20)</f>
        <v>40649</v>
      </c>
      <c r="I6" s="10">
        <f>IF(DAY(AbrDom1)=1,AbrDom1+14,AbrDom1+21)</f>
        <v>40650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IF(DAY(AbrDom1)=1,AbrDom1+15,AbrDom1+22)</f>
        <v>40651</v>
      </c>
      <c r="D7" s="10">
        <f>IF(DAY(AbrDom1)=1,AbrDom1+16,AbrDom1+23)</f>
        <v>40652</v>
      </c>
      <c r="E7" s="10">
        <f>IF(DAY(AbrDom1)=1,AbrDom1+17,AbrDom1+24)</f>
        <v>40653</v>
      </c>
      <c r="F7" s="10">
        <f>IF(DAY(AbrDom1)=1,AbrDom1+18,AbrDom1+25)</f>
        <v>40654</v>
      </c>
      <c r="G7" s="10">
        <f>IF(DAY(AbrDom1)=1,AbrDom1+19,AbrDom1+26)</f>
        <v>40655</v>
      </c>
      <c r="H7" s="10">
        <f>IF(DAY(AbrDom1)=1,AbrDom1+20,AbrDom1+27)</f>
        <v>40656</v>
      </c>
      <c r="I7" s="10">
        <f>IF(DAY(AbrDom1)=1,AbrDom1+21,AbrDom1+28)</f>
        <v>40657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IF(DAY(AbrDom1)=1,AbrDom1+22,AbrDom1+29)</f>
        <v>40658</v>
      </c>
      <c r="D8" s="10">
        <f>IF(DAY(AbrDom1)=1,AbrDom1+23,AbrDom1+30)</f>
        <v>40659</v>
      </c>
      <c r="E8" s="10">
        <f>IF(DAY(AbrDom1)=1,AbrDom1+24,AbrDom1+31)</f>
        <v>40660</v>
      </c>
      <c r="F8" s="10">
        <f>IF(DAY(AbrDom1)=1,AbrDom1+25,AbrDom1+32)</f>
        <v>40661</v>
      </c>
      <c r="G8" s="10">
        <f>IF(DAY(AbrDom1)=1,AbrDom1+26,AbrDom1+33)</f>
        <v>40662</v>
      </c>
      <c r="H8" s="10">
        <f>IF(DAY(AbrDom1)=1,AbrDom1+27,AbrDom1+34)</f>
        <v>40663</v>
      </c>
      <c r="I8" s="10">
        <f>IF(DAY(AbrDom1)=1,AbrDom1+28,AbrDom1+35)</f>
        <v>40664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IF(DAY(AbrDom1)=1,AbrDom1+29,AbrDom1+36)</f>
        <v>40665</v>
      </c>
      <c r="D9" s="10">
        <f>IF(DAY(AbrDom1)=1,AbrDom1+30,AbrDom1+37)</f>
        <v>40666</v>
      </c>
      <c r="E9" s="10">
        <f>IF(DAY(AbrDom1)=1,AbrDom1+31,AbrDom1+38)</f>
        <v>40667</v>
      </c>
      <c r="F9" s="10">
        <f>IF(DAY(AbrDom1)=1,AbrDom1+32,AbrDom1+39)</f>
        <v>40668</v>
      </c>
      <c r="G9" s="10">
        <f>IF(DAY(AbrDom1)=1,AbrDom1+33,AbrDom1+40)</f>
        <v>40669</v>
      </c>
      <c r="H9" s="10">
        <f>IF(DAY(AbrDom1)=1,AbrDom1+34,AbrDom1+41)</f>
        <v>40670</v>
      </c>
      <c r="I9" s="10">
        <f>IF(DAY(AbrDom1)=1,AbrDom1+35,AbrDom1+42)</f>
        <v>40671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17</v>
      </c>
      <c r="L10" s="16"/>
      <c r="M10" s="33"/>
      <c r="N10" s="34"/>
    </row>
    <row r="11" spans="1:14" ht="18" customHeight="1" x14ac:dyDescent="0.2">
      <c r="A11" s="4"/>
      <c r="B11" s="69" t="s">
        <v>15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16</v>
      </c>
      <c r="C13" s="37" t="s">
        <v>17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VLOOKUP(DAY(C4),DíasDeTareas,1,FALSE)=DAY(C4)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K2" sqref="K2:M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32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IF(DAY(MayDom1)=1,MayDom1-6,MayDom1+1)</f>
        <v>40658</v>
      </c>
      <c r="D4" s="10">
        <f>IF(DAY(MayDom1)=1,MayDom1-5,MayDom1+2)</f>
        <v>40659</v>
      </c>
      <c r="E4" s="10">
        <f>IF(DAY(MayDom1)=1,MayDom1-4,MayDom1+3)</f>
        <v>40660</v>
      </c>
      <c r="F4" s="10">
        <f>IF(DAY(MayDom1)=1,MayDom1-3,MayDom1+4)</f>
        <v>40661</v>
      </c>
      <c r="G4" s="10">
        <f>IF(DAY(MayDom1)=1,MayDom1-2,MayDom1+5)</f>
        <v>40662</v>
      </c>
      <c r="H4" s="10">
        <f>IF(DAY(MayDom1)=1,MayDom1-1,MayDom1+6)</f>
        <v>40663</v>
      </c>
      <c r="I4" s="10">
        <f>IF(DAY(MayDom1)=1,MayDom1,MayDom1+7)</f>
        <v>40664</v>
      </c>
      <c r="J4" s="5"/>
      <c r="K4" s="44" t="s">
        <v>16</v>
      </c>
      <c r="L4" s="16"/>
      <c r="M4" s="45"/>
      <c r="N4" s="46"/>
    </row>
    <row r="5" spans="1:14" ht="18" customHeight="1" x14ac:dyDescent="0.2">
      <c r="A5" s="4"/>
      <c r="B5" s="67"/>
      <c r="C5" s="10">
        <f>IF(DAY(MayDom1)=1,MayDom1+1,MayDom1+8)</f>
        <v>40665</v>
      </c>
      <c r="D5" s="10">
        <f>IF(DAY(MayDom1)=1,MayDom1+2,MayDom1+9)</f>
        <v>40666</v>
      </c>
      <c r="E5" s="10">
        <f>IF(DAY(MayDom1)=1,MayDom1+3,MayDom1+10)</f>
        <v>40667</v>
      </c>
      <c r="F5" s="10">
        <f>IF(DAY(MayDom1)=1,MayDom1+4,MayDom1+11)</f>
        <v>40668</v>
      </c>
      <c r="G5" s="10">
        <f>IF(DAY(MayDom1)=1,MayDom1+5,MayDom1+12)</f>
        <v>40669</v>
      </c>
      <c r="H5" s="10">
        <f>IF(DAY(MayDom1)=1,MayDom1+6,MayDom1+13)</f>
        <v>40670</v>
      </c>
      <c r="I5" s="10">
        <f>IF(DAY(MayDom1)=1,MayDom1+7,MayDom1+14)</f>
        <v>40671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IF(DAY(MayDom1)=1,MayDom1+8,MayDom1+15)</f>
        <v>40672</v>
      </c>
      <c r="D6" s="10">
        <f>IF(DAY(MayDom1)=1,MayDom1+9,MayDom1+16)</f>
        <v>40673</v>
      </c>
      <c r="E6" s="10">
        <f>IF(DAY(MayDom1)=1,MayDom1+10,MayDom1+17)</f>
        <v>40674</v>
      </c>
      <c r="F6" s="10">
        <f>IF(DAY(MayDom1)=1,MayDom1+11,MayDom1+18)</f>
        <v>40675</v>
      </c>
      <c r="G6" s="10">
        <f>IF(DAY(MayDom1)=1,MayDom1+12,MayDom1+19)</f>
        <v>40676</v>
      </c>
      <c r="H6" s="10">
        <f>IF(DAY(MayDom1)=1,MayDom1+13,MayDom1+20)</f>
        <v>40677</v>
      </c>
      <c r="I6" s="10">
        <f>IF(DAY(MayDom1)=1,MayDom1+14,MayDom1+21)</f>
        <v>40678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IF(DAY(MayDom1)=1,MayDom1+15,MayDom1+22)</f>
        <v>40679</v>
      </c>
      <c r="D7" s="10">
        <f>IF(DAY(MayDom1)=1,MayDom1+16,MayDom1+23)</f>
        <v>40680</v>
      </c>
      <c r="E7" s="10">
        <f>IF(DAY(MayDom1)=1,MayDom1+17,MayDom1+24)</f>
        <v>40681</v>
      </c>
      <c r="F7" s="10">
        <f>IF(DAY(MayDom1)=1,MayDom1+18,MayDom1+25)</f>
        <v>40682</v>
      </c>
      <c r="G7" s="10">
        <f>IF(DAY(MayDom1)=1,MayDom1+19,MayDom1+26)</f>
        <v>40683</v>
      </c>
      <c r="H7" s="10">
        <f>IF(DAY(MayDom1)=1,MayDom1+20,MayDom1+27)</f>
        <v>40684</v>
      </c>
      <c r="I7" s="10">
        <f>IF(DAY(MayDom1)=1,MayDom1+21,MayDom1+28)</f>
        <v>40685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IF(DAY(MayDom1)=1,MayDom1+22,MayDom1+29)</f>
        <v>40686</v>
      </c>
      <c r="D8" s="10">
        <f>IF(DAY(MayDom1)=1,MayDom1+23,MayDom1+30)</f>
        <v>40687</v>
      </c>
      <c r="E8" s="10">
        <f>IF(DAY(MayDom1)=1,MayDom1+24,MayDom1+31)</f>
        <v>40688</v>
      </c>
      <c r="F8" s="10">
        <f>IF(DAY(MayDom1)=1,MayDom1+25,MayDom1+32)</f>
        <v>40689</v>
      </c>
      <c r="G8" s="10">
        <f>IF(DAY(MayDom1)=1,MayDom1+26,MayDom1+33)</f>
        <v>40690</v>
      </c>
      <c r="H8" s="10">
        <f>IF(DAY(MayDom1)=1,MayDom1+27,MayDom1+34)</f>
        <v>40691</v>
      </c>
      <c r="I8" s="10">
        <f>IF(DAY(MayDom1)=1,MayDom1+28,MayDom1+35)</f>
        <v>40692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IF(DAY(MayDom1)=1,MayDom1+29,MayDom1+36)</f>
        <v>40693</v>
      </c>
      <c r="D9" s="10">
        <f>IF(DAY(MayDom1)=1,MayDom1+30,MayDom1+37)</f>
        <v>40694</v>
      </c>
      <c r="E9" s="10">
        <f>IF(DAY(MayDom1)=1,MayDom1+31,MayDom1+38)</f>
        <v>40695</v>
      </c>
      <c r="F9" s="10">
        <f>IF(DAY(MayDom1)=1,MayDom1+32,MayDom1+39)</f>
        <v>40696</v>
      </c>
      <c r="G9" s="10">
        <f>IF(DAY(MayDom1)=1,MayDom1+33,MayDom1+40)</f>
        <v>40697</v>
      </c>
      <c r="H9" s="10">
        <f>IF(DAY(MayDom1)=1,MayDom1+34,MayDom1+41)</f>
        <v>40698</v>
      </c>
      <c r="I9" s="10">
        <f>IF(DAY(MayDom1)=1,MayDom1+35,MayDom1+42)</f>
        <v>40699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17</v>
      </c>
      <c r="L10" s="16"/>
      <c r="M10" s="33"/>
      <c r="N10" s="34"/>
    </row>
    <row r="11" spans="1:14" ht="18" customHeight="1" x14ac:dyDescent="0.2">
      <c r="A11" s="4"/>
      <c r="B11" s="69" t="s">
        <v>15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16</v>
      </c>
      <c r="C13" s="37" t="s">
        <v>17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VLOOKUP(DAY(C4),DíasDeTareas,1,FALSE)=DAY(C4)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K2" sqref="K2:M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31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IF(DAY(JunDom1)=1,JunDom1-6,JunDom1+1)</f>
        <v>40693</v>
      </c>
      <c r="D4" s="10">
        <f>IF(DAY(JunDom1)=1,JunDom1-5,JunDom1+2)</f>
        <v>40694</v>
      </c>
      <c r="E4" s="10">
        <f>IF(DAY(JunDom1)=1,JunDom1-4,JunDom1+3)</f>
        <v>40695</v>
      </c>
      <c r="F4" s="10">
        <f>IF(DAY(JunDom1)=1,JunDom1-3,JunDom1+4)</f>
        <v>40696</v>
      </c>
      <c r="G4" s="10">
        <f>IF(DAY(JunDom1)=1,JunDom1-2,JunDom1+5)</f>
        <v>40697</v>
      </c>
      <c r="H4" s="10">
        <f>IF(DAY(JunDom1)=1,JunDom1-1,JunDom1+6)</f>
        <v>40698</v>
      </c>
      <c r="I4" s="10">
        <f>IF(DAY(JunDom1)=1,JunDom1,JunDom1+7)</f>
        <v>40699</v>
      </c>
      <c r="J4" s="5"/>
      <c r="K4" s="44" t="s">
        <v>16</v>
      </c>
      <c r="L4" s="16"/>
      <c r="M4" s="45"/>
      <c r="N4" s="46"/>
    </row>
    <row r="5" spans="1:14" ht="18" customHeight="1" x14ac:dyDescent="0.2">
      <c r="A5" s="4"/>
      <c r="B5" s="67"/>
      <c r="C5" s="10">
        <f>IF(DAY(JunDom1)=1,JunDom1+1,JunDom1+8)</f>
        <v>40700</v>
      </c>
      <c r="D5" s="10">
        <f>IF(DAY(JunDom1)=1,JunDom1+2,JunDom1+9)</f>
        <v>40701</v>
      </c>
      <c r="E5" s="10">
        <f>IF(DAY(JunDom1)=1,JunDom1+3,JunDom1+10)</f>
        <v>40702</v>
      </c>
      <c r="F5" s="10">
        <f>IF(DAY(JunDom1)=1,JunDom1+4,JunDom1+11)</f>
        <v>40703</v>
      </c>
      <c r="G5" s="10">
        <f>IF(DAY(JunDom1)=1,JunDom1+5,JunDom1+12)</f>
        <v>40704</v>
      </c>
      <c r="H5" s="10">
        <f>IF(DAY(JunDom1)=1,JunDom1+6,JunDom1+13)</f>
        <v>40705</v>
      </c>
      <c r="I5" s="10">
        <f>IF(DAY(JunDom1)=1,JunDom1+7,JunDom1+14)</f>
        <v>40706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IF(DAY(JunDom1)=1,JunDom1+8,JunDom1+15)</f>
        <v>40707</v>
      </c>
      <c r="D6" s="10">
        <f>IF(DAY(JunDom1)=1,JunDom1+9,JunDom1+16)</f>
        <v>40708</v>
      </c>
      <c r="E6" s="10">
        <f>IF(DAY(JunDom1)=1,JunDom1+10,JunDom1+17)</f>
        <v>40709</v>
      </c>
      <c r="F6" s="10">
        <f>IF(DAY(JunDom1)=1,JunDom1+11,JunDom1+18)</f>
        <v>40710</v>
      </c>
      <c r="G6" s="10">
        <f>IF(DAY(JunDom1)=1,JunDom1+12,JunDom1+19)</f>
        <v>40711</v>
      </c>
      <c r="H6" s="10">
        <f>IF(DAY(JunDom1)=1,JunDom1+13,JunDom1+20)</f>
        <v>40712</v>
      </c>
      <c r="I6" s="10">
        <f>IF(DAY(JunDom1)=1,JunDom1+14,JunDom1+21)</f>
        <v>40713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IF(DAY(JunDom1)=1,JunDom1+15,JunDom1+22)</f>
        <v>40714</v>
      </c>
      <c r="D7" s="10">
        <f>IF(DAY(JunDom1)=1,JunDom1+16,JunDom1+23)</f>
        <v>40715</v>
      </c>
      <c r="E7" s="10">
        <f>IF(DAY(JunDom1)=1,JunDom1+17,JunDom1+24)</f>
        <v>40716</v>
      </c>
      <c r="F7" s="10">
        <f>IF(DAY(JunDom1)=1,JunDom1+18,JunDom1+25)</f>
        <v>40717</v>
      </c>
      <c r="G7" s="10">
        <f>IF(DAY(JunDom1)=1,JunDom1+19,JunDom1+26)</f>
        <v>40718</v>
      </c>
      <c r="H7" s="10">
        <f>IF(DAY(JunDom1)=1,JunDom1+20,JunDom1+27)</f>
        <v>40719</v>
      </c>
      <c r="I7" s="10">
        <f>IF(DAY(JunDom1)=1,JunDom1+21,JunDom1+28)</f>
        <v>40720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IF(DAY(JunDom1)=1,JunDom1+22,JunDom1+29)</f>
        <v>40721</v>
      </c>
      <c r="D8" s="10">
        <f>IF(DAY(JunDom1)=1,JunDom1+23,JunDom1+30)</f>
        <v>40722</v>
      </c>
      <c r="E8" s="10">
        <f>IF(DAY(JunDom1)=1,JunDom1+24,JunDom1+31)</f>
        <v>40723</v>
      </c>
      <c r="F8" s="10">
        <f>IF(DAY(JunDom1)=1,JunDom1+25,JunDom1+32)</f>
        <v>40724</v>
      </c>
      <c r="G8" s="10">
        <f>IF(DAY(JunDom1)=1,JunDom1+26,JunDom1+33)</f>
        <v>40725</v>
      </c>
      <c r="H8" s="10">
        <f>IF(DAY(JunDom1)=1,JunDom1+27,JunDom1+34)</f>
        <v>40726</v>
      </c>
      <c r="I8" s="10">
        <f>IF(DAY(JunDom1)=1,JunDom1+28,JunDom1+35)</f>
        <v>40727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IF(DAY(JunDom1)=1,JunDom1+29,JunDom1+36)</f>
        <v>40728</v>
      </c>
      <c r="D9" s="10">
        <f>IF(DAY(JunDom1)=1,JunDom1+30,JunDom1+37)</f>
        <v>40729</v>
      </c>
      <c r="E9" s="10">
        <f>IF(DAY(JunDom1)=1,JunDom1+31,JunDom1+38)</f>
        <v>40730</v>
      </c>
      <c r="F9" s="10">
        <f>IF(DAY(JunDom1)=1,JunDom1+32,JunDom1+39)</f>
        <v>40731</v>
      </c>
      <c r="G9" s="10">
        <f>IF(DAY(JunDom1)=1,JunDom1+33,JunDom1+40)</f>
        <v>40732</v>
      </c>
      <c r="H9" s="10">
        <f>IF(DAY(JunDom1)=1,JunDom1+34,JunDom1+41)</f>
        <v>40733</v>
      </c>
      <c r="I9" s="10">
        <f>IF(DAY(JunDom1)=1,JunDom1+35,JunDom1+42)</f>
        <v>40734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17</v>
      </c>
      <c r="L10" s="16"/>
      <c r="M10" s="33"/>
      <c r="N10" s="34"/>
    </row>
    <row r="11" spans="1:14" ht="18" customHeight="1" x14ac:dyDescent="0.2">
      <c r="A11" s="4"/>
      <c r="B11" s="69" t="s">
        <v>15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16</v>
      </c>
      <c r="C13" s="37" t="s">
        <v>17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VLOOKUP(DAY(C4),DíasDeTareas,1,FALSE)=DAY(C4)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K2" sqref="K2:M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30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IF(DAY(JulDom1)=1,JulDom1-6,JulDom1+1)</f>
        <v>40721</v>
      </c>
      <c r="D4" s="10">
        <f>IF(DAY(JulDom1)=1,JulDom1-5,JulDom1+2)</f>
        <v>40722</v>
      </c>
      <c r="E4" s="10">
        <f>IF(DAY(JulDom1)=1,JulDom1-4,JulDom1+3)</f>
        <v>40723</v>
      </c>
      <c r="F4" s="10">
        <f>IF(DAY(JulDom1)=1,JulDom1-3,JulDom1+4)</f>
        <v>40724</v>
      </c>
      <c r="G4" s="10">
        <f>IF(DAY(JulDom1)=1,JulDom1-2,JulDom1+5)</f>
        <v>40725</v>
      </c>
      <c r="H4" s="10">
        <f>IF(DAY(JulDom1)=1,JulDom1-1,JulDom1+6)</f>
        <v>40726</v>
      </c>
      <c r="I4" s="10">
        <f>IF(DAY(JulDom1)=1,JulDom1,JulDom1+7)</f>
        <v>40727</v>
      </c>
      <c r="J4" s="5"/>
      <c r="K4" s="44" t="s">
        <v>16</v>
      </c>
      <c r="L4" s="16"/>
      <c r="M4" s="45"/>
      <c r="N4" s="46"/>
    </row>
    <row r="5" spans="1:14" ht="18" customHeight="1" x14ac:dyDescent="0.2">
      <c r="A5" s="4"/>
      <c r="B5" s="67"/>
      <c r="C5" s="10">
        <f>IF(DAY(JulDom1)=1,JulDom1+1,JulDom1+8)</f>
        <v>40728</v>
      </c>
      <c r="D5" s="10">
        <f>IF(DAY(JulDom1)=1,JulDom1+2,JulDom1+9)</f>
        <v>40729</v>
      </c>
      <c r="E5" s="10">
        <f>IF(DAY(JulDom1)=1,JulDom1+3,JulDom1+10)</f>
        <v>40730</v>
      </c>
      <c r="F5" s="10">
        <f>IF(DAY(JulDom1)=1,JulDom1+4,JulDom1+11)</f>
        <v>40731</v>
      </c>
      <c r="G5" s="10">
        <f>IF(DAY(JulDom1)=1,JulDom1+5,JulDom1+12)</f>
        <v>40732</v>
      </c>
      <c r="H5" s="10">
        <f>IF(DAY(JulDom1)=1,JulDom1+6,JulDom1+13)</f>
        <v>40733</v>
      </c>
      <c r="I5" s="10">
        <f>IF(DAY(JulDom1)=1,JulDom1+7,JulDom1+14)</f>
        <v>40734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IF(DAY(JulDom1)=1,JulDom1+8,JulDom1+15)</f>
        <v>40735</v>
      </c>
      <c r="D6" s="10">
        <f>IF(DAY(JulDom1)=1,JulDom1+9,JulDom1+16)</f>
        <v>40736</v>
      </c>
      <c r="E6" s="10">
        <f>IF(DAY(JulDom1)=1,JulDom1+10,JulDom1+17)</f>
        <v>40737</v>
      </c>
      <c r="F6" s="10">
        <f>IF(DAY(JulDom1)=1,JulDom1+11,JulDom1+18)</f>
        <v>40738</v>
      </c>
      <c r="G6" s="10">
        <f>IF(DAY(JulDom1)=1,JulDom1+12,JulDom1+19)</f>
        <v>40739</v>
      </c>
      <c r="H6" s="10">
        <f>IF(DAY(JulDom1)=1,JulDom1+13,JulDom1+20)</f>
        <v>40740</v>
      </c>
      <c r="I6" s="10">
        <f>IF(DAY(JulDom1)=1,JulDom1+14,JulDom1+21)</f>
        <v>40741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IF(DAY(JulDom1)=1,JulDom1+15,JulDom1+22)</f>
        <v>40742</v>
      </c>
      <c r="D7" s="10">
        <f>IF(DAY(JulDom1)=1,JulDom1+16,JulDom1+23)</f>
        <v>40743</v>
      </c>
      <c r="E7" s="10">
        <f>IF(DAY(JulDom1)=1,JulDom1+17,JulDom1+24)</f>
        <v>40744</v>
      </c>
      <c r="F7" s="10">
        <f>IF(DAY(JulDom1)=1,JulDom1+18,JulDom1+25)</f>
        <v>40745</v>
      </c>
      <c r="G7" s="10">
        <f>IF(DAY(JulDom1)=1,JulDom1+19,JulDom1+26)</f>
        <v>40746</v>
      </c>
      <c r="H7" s="10">
        <f>IF(DAY(JulDom1)=1,JulDom1+20,JulDom1+27)</f>
        <v>40747</v>
      </c>
      <c r="I7" s="10">
        <f>IF(DAY(JulDom1)=1,JulDom1+21,JulDom1+28)</f>
        <v>40748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IF(DAY(JulDom1)=1,JulDom1+22,JulDom1+29)</f>
        <v>40749</v>
      </c>
      <c r="D8" s="10">
        <f>IF(DAY(JulDom1)=1,JulDom1+23,JulDom1+30)</f>
        <v>40750</v>
      </c>
      <c r="E8" s="10">
        <f>IF(DAY(JulDom1)=1,JulDom1+24,JulDom1+31)</f>
        <v>40751</v>
      </c>
      <c r="F8" s="10">
        <f>IF(DAY(JulDom1)=1,JulDom1+25,JulDom1+32)</f>
        <v>40752</v>
      </c>
      <c r="G8" s="10">
        <f>IF(DAY(JulDom1)=1,JulDom1+26,JulDom1+33)</f>
        <v>40753</v>
      </c>
      <c r="H8" s="10">
        <f>IF(DAY(JulDom1)=1,JulDom1+27,JulDom1+34)</f>
        <v>40754</v>
      </c>
      <c r="I8" s="10">
        <f>IF(DAY(JulDom1)=1,JulDom1+28,JulDom1+35)</f>
        <v>40755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IF(DAY(JulDom1)=1,JulDom1+29,JulDom1+36)</f>
        <v>40756</v>
      </c>
      <c r="D9" s="10">
        <f>IF(DAY(JulDom1)=1,JulDom1+30,JulDom1+37)</f>
        <v>40757</v>
      </c>
      <c r="E9" s="10">
        <f>IF(DAY(JulDom1)=1,JulDom1+31,JulDom1+38)</f>
        <v>40758</v>
      </c>
      <c r="F9" s="10">
        <f>IF(DAY(JulDom1)=1,JulDom1+32,JulDom1+39)</f>
        <v>40759</v>
      </c>
      <c r="G9" s="10">
        <f>IF(DAY(JulDom1)=1,JulDom1+33,JulDom1+40)</f>
        <v>40760</v>
      </c>
      <c r="H9" s="10">
        <f>IF(DAY(JulDom1)=1,JulDom1+34,JulDom1+41)</f>
        <v>40761</v>
      </c>
      <c r="I9" s="10">
        <f>IF(DAY(JulDom1)=1,JulDom1+35,JulDom1+42)</f>
        <v>40762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17</v>
      </c>
      <c r="L10" s="16"/>
      <c r="M10" s="33"/>
      <c r="N10" s="34"/>
    </row>
    <row r="11" spans="1:14" ht="18" customHeight="1" x14ac:dyDescent="0.2">
      <c r="A11" s="4"/>
      <c r="B11" s="69" t="s">
        <v>15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16</v>
      </c>
      <c r="C13" s="37" t="s">
        <v>17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VLOOKUP(DAY(C4),DíasDeTareas,1,FALSE)=DAY(C4)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F4" sqref="F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>
      <c r="A1" s="2"/>
      <c r="B1" s="2"/>
      <c r="C1" s="2"/>
      <c r="D1" s="2"/>
      <c r="E1" s="2"/>
      <c r="F1" s="2"/>
      <c r="G1" s="2"/>
    </row>
    <row r="2" spans="1:14" ht="18" customHeight="1" x14ac:dyDescent="0.2">
      <c r="A2" s="4"/>
      <c r="B2" s="66" t="s">
        <v>29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IF(DAY(AgoDom1)=1,AgoDom1-6,AgoDom1+1)</f>
        <v>40756</v>
      </c>
      <c r="D4" s="10">
        <f>IF(DAY(AgoDom1)=1,AgoDom1-5,AgoDom1+2)</f>
        <v>40757</v>
      </c>
      <c r="E4" s="10">
        <f>IF(DAY(AgoDom1)=1,AgoDom1-4,AgoDom1+3)</f>
        <v>40758</v>
      </c>
      <c r="F4" s="10">
        <f>IF(DAY(AgoDom1)=1,AgoDom1-3,AgoDom1+4)</f>
        <v>40759</v>
      </c>
      <c r="G4" s="10">
        <f>IF(DAY(AgoDom1)=1,AgoDom1-2,AgoDom1+5)</f>
        <v>40760</v>
      </c>
      <c r="H4" s="10">
        <f>IF(DAY(AgoDom1)=1,AgoDom1-1,AgoDom1+6)</f>
        <v>40761</v>
      </c>
      <c r="I4" s="10">
        <f>IF(DAY(AgoDom1)=1,AgoDom1,AgoDom1+7)</f>
        <v>40762</v>
      </c>
      <c r="J4" s="5"/>
      <c r="K4" s="44" t="s">
        <v>16</v>
      </c>
      <c r="L4" s="16"/>
      <c r="M4" s="45"/>
      <c r="N4" s="46"/>
    </row>
    <row r="5" spans="1:14" ht="18" customHeight="1" x14ac:dyDescent="0.2">
      <c r="A5" s="4"/>
      <c r="B5" s="67"/>
      <c r="C5" s="10">
        <f>IF(DAY(AgoDom1)=1,AgoDom1+1,AgoDom1+8)</f>
        <v>40763</v>
      </c>
      <c r="D5" s="10">
        <f>IF(DAY(AgoDom1)=1,AgoDom1+2,AgoDom1+9)</f>
        <v>40764</v>
      </c>
      <c r="E5" s="10">
        <f>IF(DAY(AgoDom1)=1,AgoDom1+3,AgoDom1+10)</f>
        <v>40765</v>
      </c>
      <c r="F5" s="10">
        <f>IF(DAY(AgoDom1)=1,AgoDom1+4,AgoDom1+11)</f>
        <v>40766</v>
      </c>
      <c r="G5" s="10">
        <f>IF(DAY(AgoDom1)=1,AgoDom1+5,AgoDom1+12)</f>
        <v>40767</v>
      </c>
      <c r="H5" s="10">
        <f>IF(DAY(AgoDom1)=1,AgoDom1+6,AgoDom1+13)</f>
        <v>40768</v>
      </c>
      <c r="I5" s="10">
        <f>IF(DAY(AgoDom1)=1,AgoDom1+7,AgoDom1+14)</f>
        <v>40769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IF(DAY(AgoDom1)=1,AgoDom1+8,AgoDom1+15)</f>
        <v>40770</v>
      </c>
      <c r="D6" s="10">
        <f>IF(DAY(AgoDom1)=1,AgoDom1+9,AgoDom1+16)</f>
        <v>40771</v>
      </c>
      <c r="E6" s="10">
        <f>IF(DAY(AgoDom1)=1,AgoDom1+10,AgoDom1+17)</f>
        <v>40772</v>
      </c>
      <c r="F6" s="10">
        <f>IF(DAY(AgoDom1)=1,AgoDom1+11,AgoDom1+18)</f>
        <v>40773</v>
      </c>
      <c r="G6" s="10">
        <f>IF(DAY(AgoDom1)=1,AgoDom1+12,AgoDom1+19)</f>
        <v>40774</v>
      </c>
      <c r="H6" s="10">
        <f>IF(DAY(AgoDom1)=1,AgoDom1+13,AgoDom1+20)</f>
        <v>40775</v>
      </c>
      <c r="I6" s="10">
        <f>IF(DAY(AgoDom1)=1,AgoDom1+14,AgoDom1+21)</f>
        <v>40776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IF(DAY(AgoDom1)=1,AgoDom1+15,AgoDom1+22)</f>
        <v>40777</v>
      </c>
      <c r="D7" s="10">
        <f>IF(DAY(AgoDom1)=1,AgoDom1+16,AgoDom1+23)</f>
        <v>40778</v>
      </c>
      <c r="E7" s="10">
        <f>IF(DAY(AgoDom1)=1,AgoDom1+17,AgoDom1+24)</f>
        <v>40779</v>
      </c>
      <c r="F7" s="10">
        <f>IF(DAY(AgoDom1)=1,AgoDom1+18,AgoDom1+25)</f>
        <v>40780</v>
      </c>
      <c r="G7" s="10">
        <f>IF(DAY(AgoDom1)=1,AgoDom1+19,AgoDom1+26)</f>
        <v>40781</v>
      </c>
      <c r="H7" s="10">
        <f>IF(DAY(AgoDom1)=1,AgoDom1+20,AgoDom1+27)</f>
        <v>40782</v>
      </c>
      <c r="I7" s="10">
        <f>IF(DAY(AgoDom1)=1,AgoDom1+21,AgoDom1+28)</f>
        <v>40783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IF(DAY(AgoDom1)=1,AgoDom1+22,AgoDom1+29)</f>
        <v>40784</v>
      </c>
      <c r="D8" s="10">
        <f>IF(DAY(AgoDom1)=1,AgoDom1+23,AgoDom1+30)</f>
        <v>40785</v>
      </c>
      <c r="E8" s="10">
        <f>IF(DAY(AgoDom1)=1,AgoDom1+24,AgoDom1+31)</f>
        <v>40786</v>
      </c>
      <c r="F8" s="10">
        <f>IF(DAY(AgoDom1)=1,AgoDom1+25,AgoDom1+32)</f>
        <v>40787</v>
      </c>
      <c r="G8" s="10">
        <f>IF(DAY(AgoDom1)=1,AgoDom1+26,AgoDom1+33)</f>
        <v>40788</v>
      </c>
      <c r="H8" s="10">
        <f>IF(DAY(AgoDom1)=1,AgoDom1+27,AgoDom1+34)</f>
        <v>40789</v>
      </c>
      <c r="I8" s="10">
        <f>IF(DAY(AgoDom1)=1,AgoDom1+28,AgoDom1+35)</f>
        <v>40790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IF(DAY(AgoDom1)=1,AgoDom1+29,AgoDom1+36)</f>
        <v>40791</v>
      </c>
      <c r="D9" s="10">
        <f>IF(DAY(AgoDom1)=1,AgoDom1+30,AgoDom1+37)</f>
        <v>40792</v>
      </c>
      <c r="E9" s="10">
        <f>IF(DAY(AgoDom1)=1,AgoDom1+31,AgoDom1+38)</f>
        <v>40793</v>
      </c>
      <c r="F9" s="10">
        <f>IF(DAY(AgoDom1)=1,AgoDom1+32,AgoDom1+39)</f>
        <v>40794</v>
      </c>
      <c r="G9" s="10">
        <f>IF(DAY(AgoDom1)=1,AgoDom1+33,AgoDom1+40)</f>
        <v>40795</v>
      </c>
      <c r="H9" s="10">
        <f>IF(DAY(AgoDom1)=1,AgoDom1+34,AgoDom1+41)</f>
        <v>40796</v>
      </c>
      <c r="I9" s="10">
        <f>IF(DAY(AgoDom1)=1,AgoDom1+35,AgoDom1+42)</f>
        <v>40797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17</v>
      </c>
      <c r="L10" s="16"/>
      <c r="M10" s="33"/>
      <c r="N10" s="34"/>
    </row>
    <row r="11" spans="1:14" ht="18" customHeight="1" x14ac:dyDescent="0.2">
      <c r="A11" s="4"/>
      <c r="B11" s="69" t="s">
        <v>15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16</v>
      </c>
      <c r="C13" s="37" t="s">
        <v>17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VLOOKUP(DAY(C4),DíasDeTareas,1,FALSE)=DAY(C4)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K2" sqref="K2:M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28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9</v>
      </c>
      <c r="D3" s="2" t="s">
        <v>1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13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IF(DAY(SepDom1)=1,SepDom1-6,SepDom1+1)</f>
        <v>40784</v>
      </c>
      <c r="D4" s="10">
        <f>IF(DAY(SepDom1)=1,SepDom1-5,SepDom1+2)</f>
        <v>40785</v>
      </c>
      <c r="E4" s="10">
        <f>IF(DAY(SepDom1)=1,SepDom1-4,SepDom1+3)</f>
        <v>40786</v>
      </c>
      <c r="F4" s="10">
        <f>IF(DAY(SepDom1)=1,SepDom1-3,SepDom1+4)</f>
        <v>40787</v>
      </c>
      <c r="G4" s="10">
        <f>IF(DAY(SepDom1)=1,SepDom1-2,SepDom1+5)</f>
        <v>40788</v>
      </c>
      <c r="H4" s="10">
        <f>IF(DAY(SepDom1)=1,SepDom1-1,SepDom1+6)</f>
        <v>40789</v>
      </c>
      <c r="I4" s="10">
        <f>IF(DAY(SepDom1)=1,SepDom1,SepDom1+7)</f>
        <v>40790</v>
      </c>
      <c r="J4" s="5"/>
      <c r="K4" s="44" t="s">
        <v>16</v>
      </c>
      <c r="L4" s="16"/>
      <c r="M4" s="45"/>
      <c r="N4" s="46"/>
    </row>
    <row r="5" spans="1:14" ht="18" customHeight="1" x14ac:dyDescent="0.2">
      <c r="A5" s="4"/>
      <c r="B5" s="67"/>
      <c r="C5" s="10">
        <f>IF(DAY(SepDom1)=1,SepDom1+1,SepDom1+8)</f>
        <v>40791</v>
      </c>
      <c r="D5" s="10">
        <f>IF(DAY(SepDom1)=1,SepDom1+2,SepDom1+9)</f>
        <v>40792</v>
      </c>
      <c r="E5" s="10">
        <f>IF(DAY(SepDom1)=1,SepDom1+3,SepDom1+10)</f>
        <v>40793</v>
      </c>
      <c r="F5" s="10">
        <f>IF(DAY(SepDom1)=1,SepDom1+4,SepDom1+11)</f>
        <v>40794</v>
      </c>
      <c r="G5" s="10">
        <f>IF(DAY(SepDom1)=1,SepDom1+5,SepDom1+12)</f>
        <v>40795</v>
      </c>
      <c r="H5" s="10">
        <f>IF(DAY(SepDom1)=1,SepDom1+6,SepDom1+13)</f>
        <v>40796</v>
      </c>
      <c r="I5" s="10">
        <f>IF(DAY(SepDom1)=1,SepDom1+7,SepDom1+14)</f>
        <v>40797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IF(DAY(SepDom1)=1,SepDom1+8,SepDom1+15)</f>
        <v>40798</v>
      </c>
      <c r="D6" s="10">
        <f>IF(DAY(SepDom1)=1,SepDom1+9,SepDom1+16)</f>
        <v>40799</v>
      </c>
      <c r="E6" s="10">
        <f>IF(DAY(SepDom1)=1,SepDom1+10,SepDom1+17)</f>
        <v>40800</v>
      </c>
      <c r="F6" s="10">
        <f>IF(DAY(SepDom1)=1,SepDom1+11,SepDom1+18)</f>
        <v>40801</v>
      </c>
      <c r="G6" s="10">
        <f>IF(DAY(SepDom1)=1,SepDom1+12,SepDom1+19)</f>
        <v>40802</v>
      </c>
      <c r="H6" s="10">
        <f>IF(DAY(SepDom1)=1,SepDom1+13,SepDom1+20)</f>
        <v>40803</v>
      </c>
      <c r="I6" s="10">
        <f>IF(DAY(SepDom1)=1,SepDom1+14,SepDom1+21)</f>
        <v>40804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IF(DAY(SepDom1)=1,SepDom1+15,SepDom1+22)</f>
        <v>40805</v>
      </c>
      <c r="D7" s="10">
        <f>IF(DAY(SepDom1)=1,SepDom1+16,SepDom1+23)</f>
        <v>40806</v>
      </c>
      <c r="E7" s="10">
        <f>IF(DAY(SepDom1)=1,SepDom1+17,SepDom1+24)</f>
        <v>40807</v>
      </c>
      <c r="F7" s="10">
        <f>IF(DAY(SepDom1)=1,SepDom1+18,SepDom1+25)</f>
        <v>40808</v>
      </c>
      <c r="G7" s="10">
        <f>IF(DAY(SepDom1)=1,SepDom1+19,SepDom1+26)</f>
        <v>40809</v>
      </c>
      <c r="H7" s="10">
        <f>IF(DAY(SepDom1)=1,SepDom1+20,SepDom1+27)</f>
        <v>40810</v>
      </c>
      <c r="I7" s="10">
        <f>IF(DAY(SepDom1)=1,SepDom1+21,SepDom1+28)</f>
        <v>40811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IF(DAY(SepDom1)=1,SepDom1+22,SepDom1+29)</f>
        <v>40812</v>
      </c>
      <c r="D8" s="10">
        <f>IF(DAY(SepDom1)=1,SepDom1+23,SepDom1+30)</f>
        <v>40813</v>
      </c>
      <c r="E8" s="10">
        <f>IF(DAY(SepDom1)=1,SepDom1+24,SepDom1+31)</f>
        <v>40814</v>
      </c>
      <c r="F8" s="10">
        <f>IF(DAY(SepDom1)=1,SepDom1+25,SepDom1+32)</f>
        <v>40815</v>
      </c>
      <c r="G8" s="10">
        <f>IF(DAY(SepDom1)=1,SepDom1+26,SepDom1+33)</f>
        <v>40816</v>
      </c>
      <c r="H8" s="10">
        <f>IF(DAY(SepDom1)=1,SepDom1+27,SepDom1+34)</f>
        <v>40817</v>
      </c>
      <c r="I8" s="10">
        <f>IF(DAY(SepDom1)=1,SepDom1+28,SepDom1+35)</f>
        <v>40818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IF(DAY(SepDom1)=1,SepDom1+29,SepDom1+36)</f>
        <v>40819</v>
      </c>
      <c r="D9" s="10">
        <f>IF(DAY(SepDom1)=1,SepDom1+30,SepDom1+37)</f>
        <v>40820</v>
      </c>
      <c r="E9" s="10">
        <f>IF(DAY(SepDom1)=1,SepDom1+31,SepDom1+38)</f>
        <v>40821</v>
      </c>
      <c r="F9" s="10">
        <f>IF(DAY(SepDom1)=1,SepDom1+32,SepDom1+39)</f>
        <v>40822</v>
      </c>
      <c r="G9" s="10">
        <f>IF(DAY(SepDom1)=1,SepDom1+33,SepDom1+40)</f>
        <v>40823</v>
      </c>
      <c r="H9" s="10">
        <f>IF(DAY(SepDom1)=1,SepDom1+34,SepDom1+41)</f>
        <v>40824</v>
      </c>
      <c r="I9" s="10">
        <f>IF(DAY(SepDom1)=1,SepDom1+35,SepDom1+42)</f>
        <v>40825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17</v>
      </c>
      <c r="L10" s="16"/>
      <c r="M10" s="33"/>
      <c r="N10" s="34"/>
    </row>
    <row r="11" spans="1:14" ht="18" customHeight="1" x14ac:dyDescent="0.2">
      <c r="A11" s="4"/>
      <c r="B11" s="69" t="s">
        <v>15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16</v>
      </c>
      <c r="C13" s="37" t="s">
        <v>17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VLOOKUP(DAY(C4),DíasDeTareas,1,FALSE)=DAY(C4)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2029-05-12T07:00:00+00:00</AssetExpire>
    <IntlLangReviewDate xmlns="2958f784-0ef9-4616-b22d-512a8cad1f0d" xsi:nil="true"/>
    <TPFriendlyName xmlns="2958f784-0ef9-4616-b22d-512a8cad1f0d" xsi:nil="true"/>
    <IntlLangReview xmlns="2958f784-0ef9-4616-b22d-512a8cad1f0d" xsi:nil="true"/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 xsi:nil="true"/>
    <Markets xmlns="2958f784-0ef9-4616-b22d-512a8cad1f0d"/>
    <OriginAsset xmlns="2958f784-0ef9-4616-b22d-512a8cad1f0d" xsi:nil="true"/>
    <AssetStart xmlns="2958f784-0ef9-4616-b22d-512a8cad1f0d">2011-02-21T14:14:00+00:00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414123</Value>
      <Value>645094</Value>
    </PublishStatusLookup>
    <APAuthor xmlns="2958f784-0ef9-4616-b22d-512a8cad1f0d">
      <UserInfo>
        <DisplayName/>
        <AccountId>2098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false</OutputCachingOn>
    <TemplateStatus xmlns="2958f784-0ef9-4616-b22d-512a8cad1f0d" xsi:nil="true"/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 xsi:nil="true"/>
    <UALocRecommendation xmlns="2958f784-0ef9-4616-b22d-512a8cad1f0d">Localize</UALocRecommendation>
    <LastModifiedDateTime xmlns="2958f784-0ef9-4616-b22d-512a8cad1f0d" xsi:nil="true"/>
    <LastPublishResultLookup xmlns="2958f784-0ef9-4616-b22d-512a8cad1f0d" xsi:nil="true"/>
    <LegacyData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true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BusinessGroup xmlns="2958f784-0ef9-4616-b22d-512a8cad1f0d" xsi:nil="true"/>
    <Providers xmlns="2958f784-0ef9-4616-b22d-512a8cad1f0d" xsi:nil="true"/>
    <TemplateTemplateType xmlns="2958f784-0ef9-4616-b22d-512a8cad1f0d">Excel Chart Template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Provider xmlns="2958f784-0ef9-4616-b22d-512a8cad1f0d" xsi:nil="true"/>
    <UACurrentWords xmlns="2958f784-0ef9-4616-b22d-512a8cad1f0d" xsi:nil="true"/>
    <AssetId xmlns="2958f784-0ef9-4616-b22d-512a8cad1f0d">TP102551273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</PublishTargets>
    <ApprovalLog xmlns="2958f784-0ef9-4616-b22d-512a8cad1f0d" xsi:nil="true"/>
    <BugNumber xmlns="2958f784-0ef9-4616-b22d-512a8cad1f0d" xsi:nil="true"/>
    <CrawlForDependencies xmlns="2958f784-0ef9-4616-b22d-512a8cad1f0d">false</CrawlForDependencies>
    <LastHandOff xmlns="2958f784-0ef9-4616-b22d-512a8cad1f0d" xsi:nil="true"/>
    <Milestone xmlns="2958f784-0ef9-4616-b22d-512a8cad1f0d" xsi:nil="true"/>
    <UANotes xmlns="2958f784-0ef9-4616-b22d-512a8cad1f0d" xsi:nil="true"/>
    <InternalTagsTaxHTField0 xmlns="2958f784-0ef9-4616-b22d-512a8cad1f0d">
      <Terms xmlns="http://schemas.microsoft.com/office/infopath/2007/PartnerControls"/>
    </InternalTagsTaxHTField0>
    <LocComments xmlns="2958f784-0ef9-4616-b22d-512a8cad1f0d" xsi:nil="true"/>
    <LocProcessedForMarketsLookup xmlns="2958f784-0ef9-4616-b22d-512a8cad1f0d" xsi:nil="true"/>
    <LocalizationTagsTaxHTField0 xmlns="2958f784-0ef9-4616-b22d-512a8cad1f0d">
      <Terms xmlns="http://schemas.microsoft.com/office/infopath/2007/PartnerControls"/>
    </LocalizationTagsTaxHTField0>
    <FeatureTagsTaxHTField0 xmlns="2958f784-0ef9-4616-b22d-512a8cad1f0d">
      <Terms xmlns="http://schemas.microsoft.com/office/infopath/2007/PartnerControls"/>
    </FeatureTagsTaxHTField0>
    <LocOverallLocStatusLookup xmlns="2958f784-0ef9-4616-b22d-512a8cad1f0d" xsi:nil="true"/>
    <LocPublishedLinkedAssetsLookup xmlns="2958f784-0ef9-4616-b22d-512a8cad1f0d" xsi:nil="true"/>
    <Description0 xmlns="fb5acd76-e9f3-4601-9d69-91f53ab96ae6" xsi:nil="true"/>
    <Component xmlns="fb5acd76-e9f3-4601-9d69-91f53ab96ae6" xsi:nil="true"/>
    <LocLastLocAttemptVersionTypeLookup xmlns="2958f784-0ef9-4616-b22d-512a8cad1f0d" xsi:nil="true"/>
    <LocManualTestRequired xmlns="2958f784-0ef9-4616-b22d-512a8cad1f0d" xsi:nil="true"/>
    <RecommendationsModifier xmlns="2958f784-0ef9-4616-b22d-512a8cad1f0d" xsi:nil="true"/>
    <CampaignTagsTaxHTField0 xmlns="2958f784-0ef9-4616-b22d-512a8cad1f0d">
      <Terms xmlns="http://schemas.microsoft.com/office/infopath/2007/PartnerControls"/>
    </CampaignTagsTaxHTField0>
    <LocOverallHandbackStatusLookup xmlns="2958f784-0ef9-4616-b22d-512a8cad1f0d" xsi:nil="true"/>
    <LocProcessedForHandoffsLookup xmlns="2958f784-0ef9-4616-b22d-512a8cad1f0d" xsi:nil="true"/>
    <LocOverallPreviewStatusLookup xmlns="2958f784-0ef9-4616-b22d-512a8cad1f0d" xsi:nil="true"/>
    <LocOverallPublishStatusLookup xmlns="2958f784-0ef9-4616-b22d-512a8cad1f0d" xsi:nil="true"/>
    <TaxCatchAll xmlns="2958f784-0ef9-4616-b22d-512a8cad1f0d"/>
    <LocNewPublishedVersionLookup xmlns="2958f784-0ef9-4616-b22d-512a8cad1f0d" xsi:nil="true"/>
    <LocPublishedDependentAssetsLookup xmlns="2958f784-0ef9-4616-b22d-512a8cad1f0d" xsi:nil="true"/>
    <LocRecommendedHandoff xmlns="2958f784-0ef9-4616-b22d-512a8cad1f0d" xsi:nil="true"/>
    <ScenarioTagsTaxHTField0 xmlns="2958f784-0ef9-4616-b22d-512a8cad1f0d">
      <Terms xmlns="http://schemas.microsoft.com/office/infopath/2007/PartnerControls"/>
    </ScenarioTagsTaxHTField0>
    <LocLastLocAttemptVersionLookup xmlns="2958f784-0ef9-4616-b22d-512a8cad1f0d">6191</LocLastLocAttemptVersionLookup>
    <OriginalRelease xmlns="2958f784-0ef9-4616-b22d-512a8cad1f0d">14</OriginalRelease>
    <LocMarketGroupTiers2 xmlns="2958f784-0ef9-4616-b22d-512a8cad1f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E3B75E-D7F3-4602-9E84-CC855053F540}"/>
</file>

<file path=customXml/itemProps2.xml><?xml version="1.0" encoding="utf-8"?>
<ds:datastoreItem xmlns:ds="http://schemas.openxmlformats.org/officeDocument/2006/customXml" ds:itemID="{642A2AB2-C96A-4F1D-A896-B2666E5A28B2}"/>
</file>

<file path=customXml/itemProps3.xml><?xml version="1.0" encoding="utf-8"?>
<ds:datastoreItem xmlns:ds="http://schemas.openxmlformats.org/officeDocument/2006/customXml" ds:itemID="{1B863E64-5A78-4A93-B295-4DE62DE0DF4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Año_Calendario</vt:lpstr>
      <vt:lpstr>Abril!DíasDeTareas</vt:lpstr>
      <vt:lpstr>Agosto!DíasDeTareas</vt:lpstr>
      <vt:lpstr>Diciembre!DíasDeTareas</vt:lpstr>
      <vt:lpstr>Febrero!DíasDeTareas</vt:lpstr>
      <vt:lpstr>Julio!DíasDeTareas</vt:lpstr>
      <vt:lpstr>Junio!DíasDeTareas</vt:lpstr>
      <vt:lpstr>Marzo!DíasDeTareas</vt:lpstr>
      <vt:lpstr>Mayo!DíasDeTareas</vt:lpstr>
      <vt:lpstr>Noviembre!DíasDeTareas</vt:lpstr>
      <vt:lpstr>Octubre!DíasDeTareas</vt:lpstr>
      <vt:lpstr>Septiembre!DíasDeTareas</vt:lpstr>
      <vt:lpstr>DíasDeTareas</vt:lpstr>
      <vt:lpstr>Abril!Print_Area</vt:lpstr>
      <vt:lpstr>Agosto!Print_Area</vt:lpstr>
      <vt:lpstr>Diciembre!Print_Area</vt:lpstr>
      <vt:lpstr>Enero!Print_Area</vt:lpstr>
      <vt:lpstr>Febrero!Print_Area</vt:lpstr>
      <vt:lpstr>Julio!Print_Area</vt:lpstr>
      <vt:lpstr>Junio!Print_Area</vt:lpstr>
      <vt:lpstr>Marzo!Print_Area</vt:lpstr>
      <vt:lpstr>Mayo!Print_Area</vt:lpstr>
      <vt:lpstr>Noviembre!Print_Area</vt:lpstr>
      <vt:lpstr>Octubre!Print_Area</vt:lpstr>
      <vt:lpstr>Septiembre!Print_Area</vt:lpstr>
      <vt:lpstr>Abril!TablaFechasImportantes</vt:lpstr>
      <vt:lpstr>Agosto!TablaFechasImportantes</vt:lpstr>
      <vt:lpstr>Diciembre!TablaFechasImportantes</vt:lpstr>
      <vt:lpstr>Febrero!TablaFechasImportantes</vt:lpstr>
      <vt:lpstr>Julio!TablaFechasImportantes</vt:lpstr>
      <vt:lpstr>Junio!TablaFechasImportantes</vt:lpstr>
      <vt:lpstr>Marzo!TablaFechasImportantes</vt:lpstr>
      <vt:lpstr>Mayo!TablaFechasImportantes</vt:lpstr>
      <vt:lpstr>Noviembre!TablaFechasImportantes</vt:lpstr>
      <vt:lpstr>Octubre!TablaFechasImportantes</vt:lpstr>
      <vt:lpstr>Septiembre!TablaFechasImportantes</vt:lpstr>
      <vt:lpstr>TablaFechasImportantes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Samyuktha Laxminarayana (Lionbridge)</dc:creator>
  <cp:lastModifiedBy>AWS CFM Account</cp:lastModifiedBy>
  <cp:lastPrinted>2010-12-16T21:23:33Z</cp:lastPrinted>
  <dcterms:created xsi:type="dcterms:W3CDTF">2010-04-07T20:16:53Z</dcterms:created>
  <dcterms:modified xsi:type="dcterms:W3CDTF">2012-05-30T11:59:59Z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Order">
    <vt:r8>13293600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