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/>
  <bookViews>
    <workbookView xWindow="480" yWindow="360" windowWidth="15600" windowHeight="7455"/>
  </bookViews>
  <sheets>
    <sheet name="Calendario familiar" sheetId="4" r:id="rId1"/>
  </sheets>
  <definedNames>
    <definedName name="AbrDom1">DATE(Año_Calendario,4,1)-WEEKDAY(DATE(Año_Calendario,4,1))+1</definedName>
    <definedName name="AgoDom1">DATE(Año_Calendario,8,1)-WEEKDAY(DATE(Año_Calendario,8,1))+1</definedName>
    <definedName name="Año_Calendario">'Calendario familiar'!$AE$3</definedName>
    <definedName name="_xlnm.Print_Area" localSheetId="0">'Calendario familiar'!$B$1:$AK$50</definedName>
    <definedName name="DicDom1">DATE(Año_Calendario,12,1)-WEEKDAY(DATE(Año_Calendario,12,1))+1</definedName>
    <definedName name="EneDom1">DATE(Año_Calendario,1,1)-WEEKDAY(DATE(Año_Calendario,1,1))+1</definedName>
    <definedName name="FebDom1">DATE(Año_Calendario,2,1)-WEEKDAY(DATE(Año_Calendario,2,1))+1</definedName>
    <definedName name="FechasImportantes">'Calendario familiar'!$D$6:$G$20</definedName>
    <definedName name="JulDom1">DATE(Año_Calendario,7,1)-WEEKDAY(DATE(Año_Calendario,7,1))+1</definedName>
    <definedName name="JunDom1">DATE(Año_Calendario,6,1)-WEEKDAY(DATE(Año_Calendario,6,1))+1</definedName>
    <definedName name="MarDom1">DATE(Año_Calendario,3,1)-WEEKDAY(DATE(Año_Calendario,3,1))+1</definedName>
    <definedName name="MayDom1">DATE(Año_Calendario,5,1)-WEEKDAY(DATE(Año_Calendario,5,1))+1</definedName>
    <definedName name="NovDom1">DATE(Año_Calendario,11,1)-WEEKDAY(DATE(Año_Calendario,11,1))+1</definedName>
    <definedName name="OctDom1">DATE(Año_Calendario,10,1)-WEEKDAY(DATE(Año_Calendario,10,1))+1</definedName>
    <definedName name="SepDom1">DATE(Año_Calendario,9,1)-WEEKDAY(DATE(Año_Calendario,9,1))+1</definedName>
  </definedNames>
  <calcPr calcId="125725"/>
</workbook>
</file>

<file path=xl/calcChain.xml><?xml version="1.0" encoding="utf-8"?>
<calcChain xmlns="http://schemas.openxmlformats.org/spreadsheetml/2006/main">
  <c r="C24" i="4"/>
  <c r="AJ49"/>
  <c r="AI49"/>
  <c r="AH49"/>
  <c r="AG49"/>
  <c r="AF49"/>
  <c r="AE49"/>
  <c r="AD49"/>
  <c r="AJ48"/>
  <c r="AI48"/>
  <c r="AH48"/>
  <c r="AG48"/>
  <c r="AF48"/>
  <c r="AE48"/>
  <c r="AD48"/>
  <c r="AJ47"/>
  <c r="AI47"/>
  <c r="AH47"/>
  <c r="AG47"/>
  <c r="AF47"/>
  <c r="AE47"/>
  <c r="AD47"/>
  <c r="AJ46"/>
  <c r="AI46"/>
  <c r="AH46"/>
  <c r="AG46"/>
  <c r="AF46"/>
  <c r="AE46"/>
  <c r="AD46"/>
  <c r="AJ45"/>
  <c r="AI45"/>
  <c r="AH45"/>
  <c r="AG45"/>
  <c r="AF45"/>
  <c r="AE45"/>
  <c r="AD45"/>
  <c r="AJ44"/>
  <c r="AI44"/>
  <c r="AH44"/>
  <c r="AG44"/>
  <c r="AF44"/>
  <c r="AE44"/>
  <c r="AD44"/>
  <c r="AA49"/>
  <c r="Z49"/>
  <c r="Y49"/>
  <c r="X49"/>
  <c r="W49"/>
  <c r="V49"/>
  <c r="U49"/>
  <c r="AA48"/>
  <c r="Z48"/>
  <c r="Y48"/>
  <c r="X48"/>
  <c r="W48"/>
  <c r="V48"/>
  <c r="U48"/>
  <c r="AA47"/>
  <c r="Z47"/>
  <c r="Y47"/>
  <c r="X47"/>
  <c r="W47"/>
  <c r="V47"/>
  <c r="U47"/>
  <c r="AA46"/>
  <c r="Z46"/>
  <c r="Y46"/>
  <c r="X46"/>
  <c r="W46"/>
  <c r="V46"/>
  <c r="U46"/>
  <c r="AA45"/>
  <c r="Z45"/>
  <c r="Y45"/>
  <c r="X45"/>
  <c r="W45"/>
  <c r="V45"/>
  <c r="U45"/>
  <c r="AA44"/>
  <c r="Z44"/>
  <c r="Y44"/>
  <c r="X44"/>
  <c r="W44"/>
  <c r="V44"/>
  <c r="U44"/>
  <c r="R49"/>
  <c r="Q49"/>
  <c r="P49"/>
  <c r="O49"/>
  <c r="N49"/>
  <c r="M49"/>
  <c r="L49"/>
  <c r="R48"/>
  <c r="Q48"/>
  <c r="P48"/>
  <c r="O48"/>
  <c r="N48"/>
  <c r="M48"/>
  <c r="L48"/>
  <c r="R47"/>
  <c r="Q47"/>
  <c r="P47"/>
  <c r="O47"/>
  <c r="N47"/>
  <c r="M47"/>
  <c r="L47"/>
  <c r="R46"/>
  <c r="Q46"/>
  <c r="P46"/>
  <c r="O46"/>
  <c r="N46"/>
  <c r="M46"/>
  <c r="L46"/>
  <c r="R45"/>
  <c r="Q45"/>
  <c r="P45"/>
  <c r="O45"/>
  <c r="N45"/>
  <c r="M45"/>
  <c r="L45"/>
  <c r="R44"/>
  <c r="Q44"/>
  <c r="P44"/>
  <c r="O44"/>
  <c r="N44"/>
  <c r="M44"/>
  <c r="L44"/>
  <c r="I49"/>
  <c r="H49"/>
  <c r="G49"/>
  <c r="F49"/>
  <c r="E49"/>
  <c r="D49"/>
  <c r="C49"/>
  <c r="I48"/>
  <c r="H48"/>
  <c r="G48"/>
  <c r="F48"/>
  <c r="E48"/>
  <c r="D48"/>
  <c r="C48"/>
  <c r="I47"/>
  <c r="H47"/>
  <c r="G47"/>
  <c r="F47"/>
  <c r="E47"/>
  <c r="D47"/>
  <c r="C47"/>
  <c r="I46"/>
  <c r="H46"/>
  <c r="G46"/>
  <c r="F46"/>
  <c r="E46"/>
  <c r="D46"/>
  <c r="C46"/>
  <c r="I45"/>
  <c r="H45"/>
  <c r="G45"/>
  <c r="F45"/>
  <c r="E45"/>
  <c r="D45"/>
  <c r="C45"/>
  <c r="I44"/>
  <c r="H44"/>
  <c r="G44"/>
  <c r="F44"/>
  <c r="E44"/>
  <c r="D44"/>
  <c r="C44"/>
  <c r="AJ40"/>
  <c r="AI40"/>
  <c r="AH40"/>
  <c r="AG40"/>
  <c r="AF40"/>
  <c r="AE40"/>
  <c r="AD40"/>
  <c r="AJ39"/>
  <c r="AI39"/>
  <c r="AH39"/>
  <c r="AG39"/>
  <c r="AF39"/>
  <c r="AE39"/>
  <c r="AD39"/>
  <c r="AJ38"/>
  <c r="AI38"/>
  <c r="AH38"/>
  <c r="AG38"/>
  <c r="AF38"/>
  <c r="AE38"/>
  <c r="AD38"/>
  <c r="AJ37"/>
  <c r="AI37"/>
  <c r="AH37"/>
  <c r="AG37"/>
  <c r="AF37"/>
  <c r="AE37"/>
  <c r="AD37"/>
  <c r="AJ36"/>
  <c r="AI36"/>
  <c r="AH36"/>
  <c r="AG36"/>
  <c r="AF36"/>
  <c r="AE36"/>
  <c r="AD36"/>
  <c r="AJ35"/>
  <c r="AI35"/>
  <c r="AH35"/>
  <c r="AG35"/>
  <c r="AF35"/>
  <c r="AE35"/>
  <c r="AD35"/>
  <c r="AA40"/>
  <c r="Z40"/>
  <c r="Y40"/>
  <c r="X40"/>
  <c r="W40"/>
  <c r="V40"/>
  <c r="U40"/>
  <c r="AA39"/>
  <c r="Z39"/>
  <c r="Y39"/>
  <c r="X39"/>
  <c r="W39"/>
  <c r="V39"/>
  <c r="U39"/>
  <c r="AA38"/>
  <c r="Z38"/>
  <c r="Y38"/>
  <c r="X38"/>
  <c r="W38"/>
  <c r="V38"/>
  <c r="U38"/>
  <c r="AA37"/>
  <c r="Z37"/>
  <c r="Y37"/>
  <c r="X37"/>
  <c r="W37"/>
  <c r="V37"/>
  <c r="U37"/>
  <c r="AA36"/>
  <c r="Z36"/>
  <c r="Y36"/>
  <c r="X36"/>
  <c r="W36"/>
  <c r="V36"/>
  <c r="U36"/>
  <c r="AA35"/>
  <c r="Z35"/>
  <c r="Y35"/>
  <c r="X35"/>
  <c r="W35"/>
  <c r="V35"/>
  <c r="U35"/>
  <c r="R40"/>
  <c r="Q40"/>
  <c r="P40"/>
  <c r="O40"/>
  <c r="N40"/>
  <c r="M40"/>
  <c r="L40"/>
  <c r="R39"/>
  <c r="Q39"/>
  <c r="P39"/>
  <c r="O39"/>
  <c r="N39"/>
  <c r="M39"/>
  <c r="L39"/>
  <c r="R38"/>
  <c r="Q38"/>
  <c r="P38"/>
  <c r="O38"/>
  <c r="N38"/>
  <c r="M38"/>
  <c r="L38"/>
  <c r="R37"/>
  <c r="Q37"/>
  <c r="P37"/>
  <c r="O37"/>
  <c r="N37"/>
  <c r="M37"/>
  <c r="L37"/>
  <c r="R36"/>
  <c r="Q36"/>
  <c r="P36"/>
  <c r="O36"/>
  <c r="N36"/>
  <c r="M36"/>
  <c r="L36"/>
  <c r="R35"/>
  <c r="Q35"/>
  <c r="P35"/>
  <c r="O35"/>
  <c r="N35"/>
  <c r="M35"/>
  <c r="L35"/>
  <c r="I40"/>
  <c r="H40"/>
  <c r="G40"/>
  <c r="F40"/>
  <c r="E40"/>
  <c r="D40"/>
  <c r="C40"/>
  <c r="I39"/>
  <c r="H39"/>
  <c r="G39"/>
  <c r="F39"/>
  <c r="E39"/>
  <c r="D39"/>
  <c r="C39"/>
  <c r="I38"/>
  <c r="H38"/>
  <c r="G38"/>
  <c r="F38"/>
  <c r="E38"/>
  <c r="D38"/>
  <c r="C38"/>
  <c r="I37"/>
  <c r="H37"/>
  <c r="G37"/>
  <c r="F37"/>
  <c r="E37"/>
  <c r="D37"/>
  <c r="C37"/>
  <c r="I36"/>
  <c r="H36"/>
  <c r="G36"/>
  <c r="F36"/>
  <c r="E36"/>
  <c r="D36"/>
  <c r="C36"/>
  <c r="I35"/>
  <c r="H35"/>
  <c r="G35"/>
  <c r="F35"/>
  <c r="E35"/>
  <c r="D35"/>
  <c r="C35"/>
  <c r="AJ31"/>
  <c r="AI31"/>
  <c r="AH31"/>
  <c r="AG31"/>
  <c r="AF31"/>
  <c r="AE31"/>
  <c r="AD31"/>
  <c r="AJ30"/>
  <c r="AI30"/>
  <c r="AH30"/>
  <c r="AG30"/>
  <c r="AF30"/>
  <c r="AE30"/>
  <c r="AD30"/>
  <c r="AJ29"/>
  <c r="AI29"/>
  <c r="AH29"/>
  <c r="AG29"/>
  <c r="AF29"/>
  <c r="AE29"/>
  <c r="AD29"/>
  <c r="AJ28"/>
  <c r="AI28"/>
  <c r="AH28"/>
  <c r="AG28"/>
  <c r="AF28"/>
  <c r="AE28"/>
  <c r="AD28"/>
  <c r="AJ27"/>
  <c r="AI27"/>
  <c r="AH27"/>
  <c r="AG27"/>
  <c r="AF27"/>
  <c r="AE27"/>
  <c r="AD27"/>
  <c r="AJ26"/>
  <c r="AI26"/>
  <c r="AH26"/>
  <c r="AG26"/>
  <c r="AF26"/>
  <c r="AE26"/>
  <c r="AD26"/>
  <c r="AA31"/>
  <c r="Z31"/>
  <c r="Y31"/>
  <c r="X31"/>
  <c r="W31"/>
  <c r="V31"/>
  <c r="U31"/>
  <c r="AA30"/>
  <c r="Z30"/>
  <c r="Y30"/>
  <c r="X30"/>
  <c r="W30"/>
  <c r="V30"/>
  <c r="U30"/>
  <c r="AA29"/>
  <c r="Z29"/>
  <c r="Y29"/>
  <c r="X29"/>
  <c r="W29"/>
  <c r="V29"/>
  <c r="U29"/>
  <c r="AA28"/>
  <c r="Z28"/>
  <c r="Y28"/>
  <c r="X28"/>
  <c r="W28"/>
  <c r="V28"/>
  <c r="U28"/>
  <c r="AA27"/>
  <c r="Z27"/>
  <c r="Y27"/>
  <c r="X27"/>
  <c r="W27"/>
  <c r="V27"/>
  <c r="U27"/>
  <c r="AA26"/>
  <c r="Z26"/>
  <c r="Y26"/>
  <c r="X26"/>
  <c r="W26"/>
  <c r="V26"/>
  <c r="U26"/>
  <c r="R31"/>
  <c r="Q31"/>
  <c r="P31"/>
  <c r="O31"/>
  <c r="N31"/>
  <c r="M31"/>
  <c r="L31"/>
  <c r="R30"/>
  <c r="Q30"/>
  <c r="P30"/>
  <c r="O30"/>
  <c r="N30"/>
  <c r="M30"/>
  <c r="L30"/>
  <c r="R29"/>
  <c r="Q29"/>
  <c r="P29"/>
  <c r="O29"/>
  <c r="N29"/>
  <c r="M29"/>
  <c r="L29"/>
  <c r="R28"/>
  <c r="Q28"/>
  <c r="P28"/>
  <c r="O28"/>
  <c r="N28"/>
  <c r="M28"/>
  <c r="L28"/>
  <c r="R27"/>
  <c r="Q27"/>
  <c r="P27"/>
  <c r="O27"/>
  <c r="N27"/>
  <c r="M27"/>
  <c r="L27"/>
  <c r="R26"/>
  <c r="Q26"/>
  <c r="P26"/>
  <c r="O26"/>
  <c r="N26"/>
  <c r="M26"/>
  <c r="L26"/>
  <c r="I31"/>
  <c r="H31"/>
  <c r="G31"/>
  <c r="F31"/>
  <c r="E31"/>
  <c r="D31"/>
  <c r="C31"/>
  <c r="I30"/>
  <c r="H30"/>
  <c r="G30"/>
  <c r="F30"/>
  <c r="E30"/>
  <c r="D30"/>
  <c r="C30"/>
  <c r="I29"/>
  <c r="H29"/>
  <c r="G29"/>
  <c r="F29"/>
  <c r="E29"/>
  <c r="D29"/>
  <c r="C29"/>
  <c r="I28"/>
  <c r="H28"/>
  <c r="G28"/>
  <c r="F28"/>
  <c r="E28"/>
  <c r="D28"/>
  <c r="C28"/>
  <c r="I27"/>
  <c r="H27"/>
  <c r="G27"/>
  <c r="F27"/>
  <c r="E27"/>
  <c r="D27"/>
  <c r="C27"/>
  <c r="I26"/>
  <c r="H26"/>
  <c r="G26"/>
  <c r="F26"/>
  <c r="E26"/>
  <c r="D26"/>
  <c r="C26"/>
  <c r="AD42"/>
  <c r="U42"/>
  <c r="L42"/>
  <c r="C42"/>
  <c r="AD33"/>
  <c r="U33"/>
  <c r="L33"/>
  <c r="C33"/>
  <c r="AD24"/>
  <c r="U24"/>
  <c r="L24"/>
</calcChain>
</file>

<file path=xl/sharedStrings.xml><?xml version="1.0" encoding="utf-8"?>
<sst xmlns="http://schemas.openxmlformats.org/spreadsheetml/2006/main" count="89" uniqueCount="12">
  <si>
    <t>S</t>
  </si>
  <si>
    <t>M</t>
  </si>
  <si>
    <t>Fechas importantes</t>
  </si>
  <si>
    <t>Día de Año Nuevo</t>
  </si>
  <si>
    <t>Cumpleaños de Enrique</t>
  </si>
  <si>
    <t>Calendario familiar de los Gómez</t>
  </si>
  <si>
    <t>Notas</t>
  </si>
  <si>
    <t>L</t>
  </si>
  <si>
    <t>X</t>
  </si>
  <si>
    <t>V</t>
  </si>
  <si>
    <t>J</t>
  </si>
  <si>
    <t>D</t>
  </si>
</sst>
</file>

<file path=xl/styles.xml><?xml version="1.0" encoding="utf-8"?>
<styleSheet xmlns="http://schemas.openxmlformats.org/spreadsheetml/2006/main">
  <numFmts count="2">
    <numFmt numFmtId="164" formatCode="d"/>
    <numFmt numFmtId="165" formatCode="mmmm"/>
  </numFmts>
  <fonts count="20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40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2" fillId="2" borderId="0" xfId="0" applyFont="1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8" fillId="2" borderId="2" xfId="0" applyFont="1" applyFill="1" applyBorder="1"/>
    <xf numFmtId="0" fontId="5" fillId="2" borderId="0" xfId="0" applyFont="1" applyFill="1" applyAlignment="1"/>
    <xf numFmtId="0" fontId="8" fillId="2" borderId="1" xfId="0" applyFont="1" applyFill="1" applyBorder="1"/>
    <xf numFmtId="14" fontId="5" fillId="2" borderId="0" xfId="0" applyNumberFormat="1" applyFont="1" applyFill="1" applyAlignment="1">
      <alignment horizontal="right" indent="1"/>
    </xf>
    <xf numFmtId="0" fontId="5" fillId="0" borderId="0" xfId="0" applyFont="1" applyFill="1"/>
    <xf numFmtId="0" fontId="5" fillId="2" borderId="0" xfId="0" applyFont="1" applyFill="1"/>
    <xf numFmtId="165" fontId="10" fillId="0" borderId="0" xfId="0" applyNumberFormat="1" applyFont="1" applyFill="1" applyBorder="1" applyAlignment="1">
      <alignment horizontal="left"/>
    </xf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 cstate="print">
            <a:extLst>
              <a:ext uri="{BEBA8EAE-BF5A-486C-A8C5-ECC9F3942E4B}">
                <a14:imgProps xmlns=""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39</xdr:col>
      <xdr:colOff>590551</xdr:colOff>
      <xdr:row>2</xdr:row>
      <xdr:rowOff>457200</xdr:rowOff>
    </xdr:to>
    <xdr:sp macro="" textlink="">
      <xdr:nvSpPr>
        <xdr:cNvPr id="4" name="Instructions" descr="To change the calendar year, click the spinner"/>
        <xdr:cNvSpPr txBox="1"/>
      </xdr:nvSpPr>
      <xdr:spPr>
        <a:xfrm>
          <a:off x="7667627" y="552451"/>
          <a:ext cx="1800224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tx1">
                  <a:lumMod val="65000"/>
                  <a:lumOff val="35000"/>
                </a:schemeClr>
              </a:solidFill>
            </a:rPr>
            <a:t>Para cambiar el año, haga clic en el control de número</a:t>
          </a: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autoPageBreaks="0" fitToPage="1"/>
  </sheetPr>
  <dimension ref="C1:AK50"/>
  <sheetViews>
    <sheetView showGridLines="0" tabSelected="1" zoomScaleNormal="100" workbookViewId="0"/>
  </sheetViews>
  <sheetFormatPr baseColWidth="10" defaultColWidth="9.140625" defaultRowHeight="12.75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/>
    <row r="2" spans="3:36" ht="15" customHeight="1"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3:36" ht="34.5">
      <c r="C3" s="26"/>
      <c r="D3" s="31" t="s">
        <v>5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>
        <v>2011</v>
      </c>
      <c r="AF3" s="32"/>
      <c r="AG3" s="32"/>
      <c r="AH3" s="32"/>
      <c r="AI3" s="32"/>
      <c r="AJ3" s="25"/>
    </row>
    <row r="4" spans="3:36" ht="9.75" customHeight="1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3:36" ht="15.75">
      <c r="C5" s="25"/>
      <c r="D5" s="8" t="s">
        <v>2</v>
      </c>
      <c r="E5" s="27"/>
      <c r="F5" s="28"/>
      <c r="G5" s="28"/>
      <c r="H5" s="29"/>
      <c r="I5" s="29"/>
      <c r="J5" s="29"/>
      <c r="K5" s="29"/>
      <c r="L5" s="29"/>
      <c r="M5" s="8"/>
      <c r="N5" s="30"/>
      <c r="O5" s="29"/>
      <c r="P5" s="30"/>
      <c r="Q5" s="30"/>
      <c r="R5" s="30"/>
      <c r="S5" s="25"/>
      <c r="T5" s="25"/>
      <c r="U5" s="23" t="s">
        <v>6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5"/>
      <c r="AJ5" s="25"/>
    </row>
    <row r="6" spans="3:36">
      <c r="C6" s="9"/>
      <c r="D6" s="36">
        <v>40544</v>
      </c>
      <c r="E6" s="36"/>
      <c r="F6" s="36"/>
      <c r="G6" s="36"/>
      <c r="H6" s="34" t="s">
        <v>3</v>
      </c>
      <c r="I6" s="34"/>
      <c r="J6" s="34"/>
      <c r="K6" s="34"/>
      <c r="L6" s="34"/>
      <c r="M6" s="34"/>
      <c r="N6" s="34"/>
      <c r="O6" s="34"/>
      <c r="P6" s="34"/>
      <c r="Q6" s="34"/>
      <c r="R6" s="24"/>
      <c r="S6" s="11"/>
      <c r="T6" s="9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9"/>
    </row>
    <row r="7" spans="3:36" ht="14.25">
      <c r="C7" s="10"/>
      <c r="D7" s="36">
        <v>40627</v>
      </c>
      <c r="E7" s="36"/>
      <c r="F7" s="36"/>
      <c r="G7" s="36"/>
      <c r="H7" s="34" t="s">
        <v>4</v>
      </c>
      <c r="I7" s="34"/>
      <c r="J7" s="34"/>
      <c r="K7" s="34"/>
      <c r="L7" s="34"/>
      <c r="M7" s="34"/>
      <c r="N7" s="34"/>
      <c r="O7" s="34"/>
      <c r="P7" s="34"/>
      <c r="Q7" s="34"/>
      <c r="R7" s="24"/>
      <c r="S7" s="11"/>
      <c r="T7" s="9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9"/>
    </row>
    <row r="8" spans="3:36" ht="14.25">
      <c r="C8" s="10"/>
      <c r="D8" s="36"/>
      <c r="E8" s="36"/>
      <c r="F8" s="36"/>
      <c r="G8" s="36"/>
      <c r="H8" s="34"/>
      <c r="I8" s="34"/>
      <c r="J8" s="34"/>
      <c r="K8" s="34"/>
      <c r="L8" s="34"/>
      <c r="M8" s="34"/>
      <c r="N8" s="34"/>
      <c r="O8" s="34"/>
      <c r="P8" s="34"/>
      <c r="Q8" s="34"/>
      <c r="R8" s="24"/>
      <c r="S8" s="11"/>
      <c r="T8" s="9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9"/>
    </row>
    <row r="9" spans="3:36" ht="14.25">
      <c r="C9" s="10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  <c r="O9" s="34"/>
      <c r="P9" s="34"/>
      <c r="Q9" s="34"/>
      <c r="R9" s="24"/>
      <c r="S9" s="11"/>
      <c r="T9" s="9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9"/>
    </row>
    <row r="10" spans="3:36" ht="14.25">
      <c r="C10" s="10"/>
      <c r="D10" s="36"/>
      <c r="E10" s="36"/>
      <c r="F10" s="36"/>
      <c r="G10" s="3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4"/>
      <c r="S10" s="11"/>
      <c r="T10" s="9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9"/>
    </row>
    <row r="11" spans="3:36" ht="14.25">
      <c r="C11" s="10"/>
      <c r="D11" s="36"/>
      <c r="E11" s="36"/>
      <c r="F11" s="36"/>
      <c r="G11" s="3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4"/>
      <c r="S11" s="11"/>
      <c r="T11" s="9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9"/>
    </row>
    <row r="12" spans="3:36" ht="14.25">
      <c r="C12" s="10"/>
      <c r="D12" s="36"/>
      <c r="E12" s="36"/>
      <c r="F12" s="36"/>
      <c r="G12" s="3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4"/>
      <c r="S12" s="11"/>
      <c r="T12" s="9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9"/>
    </row>
    <row r="13" spans="3:36" ht="14.25">
      <c r="C13" s="10"/>
      <c r="D13" s="36"/>
      <c r="E13" s="36"/>
      <c r="F13" s="36"/>
      <c r="G13" s="3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4"/>
      <c r="S13" s="11"/>
      <c r="T13" s="9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9"/>
    </row>
    <row r="14" spans="3:36" ht="14.25">
      <c r="C14" s="10"/>
      <c r="D14" s="36"/>
      <c r="E14" s="36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4"/>
      <c r="S14" s="11"/>
      <c r="T14" s="9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9"/>
    </row>
    <row r="15" spans="3:36" ht="14.25">
      <c r="C15" s="10"/>
      <c r="D15" s="36"/>
      <c r="E15" s="36"/>
      <c r="F15" s="36"/>
      <c r="G15" s="36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4"/>
      <c r="S15" s="11"/>
      <c r="T15" s="9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9"/>
    </row>
    <row r="16" spans="3:36" ht="14.25">
      <c r="C16" s="10"/>
      <c r="D16" s="36"/>
      <c r="E16" s="36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24"/>
      <c r="S16" s="11"/>
      <c r="T16" s="9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9"/>
    </row>
    <row r="17" spans="3:37" ht="14.25">
      <c r="C17" s="10"/>
      <c r="D17" s="36"/>
      <c r="E17" s="36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4"/>
      <c r="S17" s="11"/>
      <c r="T17" s="9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9"/>
    </row>
    <row r="18" spans="3:37" ht="14.25">
      <c r="C18" s="10"/>
      <c r="D18" s="36"/>
      <c r="E18" s="36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4"/>
      <c r="S18" s="11"/>
      <c r="T18" s="9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9"/>
    </row>
    <row r="19" spans="3:37" ht="14.25">
      <c r="C19" s="10"/>
      <c r="D19" s="36"/>
      <c r="E19" s="36"/>
      <c r="F19" s="36"/>
      <c r="G19" s="36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4"/>
      <c r="S19" s="11"/>
      <c r="T19" s="9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9"/>
    </row>
    <row r="20" spans="3:37" ht="14.25">
      <c r="C20" s="10"/>
      <c r="D20" s="36"/>
      <c r="E20" s="36"/>
      <c r="F20" s="36"/>
      <c r="G20" s="3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4"/>
      <c r="S20" s="11"/>
      <c r="T20" s="9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9"/>
    </row>
    <row r="21" spans="3:37" ht="14.25">
      <c r="C21" s="10"/>
      <c r="D21" s="38"/>
      <c r="E21" s="38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7" ht="14.25">
      <c r="C22" s="18"/>
      <c r="D22" s="37"/>
      <c r="E22" s="37"/>
      <c r="F22" s="19"/>
      <c r="G22" s="19"/>
      <c r="H22" s="19"/>
      <c r="I22" s="20"/>
      <c r="J22" s="20"/>
      <c r="K22" s="20"/>
      <c r="L22" s="20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3:37" ht="33.75" customHeight="1"/>
    <row r="24" spans="3:37" ht="15.75">
      <c r="C24" s="39">
        <f>DATE(Año_Calendario,1,1)</f>
        <v>40544</v>
      </c>
      <c r="D24" s="39"/>
      <c r="E24" s="39"/>
      <c r="F24" s="39"/>
      <c r="G24" s="39"/>
      <c r="H24" s="39"/>
      <c r="I24" s="39"/>
      <c r="J24" s="13"/>
      <c r="K24" s="1"/>
      <c r="L24" s="39">
        <f>DATE(Año_Calendario,2,1)</f>
        <v>40575</v>
      </c>
      <c r="M24" s="39"/>
      <c r="N24" s="39"/>
      <c r="O24" s="39"/>
      <c r="P24" s="39"/>
      <c r="Q24" s="39"/>
      <c r="R24" s="39"/>
      <c r="S24" s="13"/>
      <c r="U24" s="39">
        <f>DATE(Año_Calendario,3,1)</f>
        <v>40603</v>
      </c>
      <c r="V24" s="39"/>
      <c r="W24" s="39"/>
      <c r="X24" s="39"/>
      <c r="Y24" s="39"/>
      <c r="Z24" s="39"/>
      <c r="AA24" s="39"/>
      <c r="AB24" s="13"/>
      <c r="AC24" s="4"/>
      <c r="AD24" s="39">
        <f>DATE(Año_Calendario,4,1)</f>
        <v>40634</v>
      </c>
      <c r="AE24" s="39"/>
      <c r="AF24" s="39"/>
      <c r="AG24" s="39"/>
      <c r="AH24" s="39"/>
      <c r="AI24" s="39"/>
      <c r="AJ24" s="39"/>
    </row>
    <row r="25" spans="3:37" ht="15.75">
      <c r="C25" s="12" t="s">
        <v>7</v>
      </c>
      <c r="D25" s="12" t="s">
        <v>1</v>
      </c>
      <c r="E25" s="12" t="s">
        <v>8</v>
      </c>
      <c r="F25" s="12" t="s">
        <v>10</v>
      </c>
      <c r="G25" s="12" t="s">
        <v>9</v>
      </c>
      <c r="H25" s="12" t="s">
        <v>0</v>
      </c>
      <c r="I25" s="12" t="s">
        <v>11</v>
      </c>
      <c r="J25" s="14"/>
      <c r="K25" s="2"/>
      <c r="L25" s="12" t="s">
        <v>7</v>
      </c>
      <c r="M25" s="12" t="s">
        <v>1</v>
      </c>
      <c r="N25" s="12" t="s">
        <v>8</v>
      </c>
      <c r="O25" s="12" t="s">
        <v>10</v>
      </c>
      <c r="P25" s="12" t="s">
        <v>9</v>
      </c>
      <c r="Q25" s="12" t="s">
        <v>0</v>
      </c>
      <c r="R25" s="12" t="s">
        <v>11</v>
      </c>
      <c r="S25" s="14"/>
      <c r="U25" s="12" t="s">
        <v>7</v>
      </c>
      <c r="V25" s="12" t="s">
        <v>1</v>
      </c>
      <c r="W25" s="12" t="s">
        <v>8</v>
      </c>
      <c r="X25" s="12" t="s">
        <v>10</v>
      </c>
      <c r="Y25" s="12" t="s">
        <v>9</v>
      </c>
      <c r="Z25" s="12" t="s">
        <v>0</v>
      </c>
      <c r="AA25" s="12" t="s">
        <v>11</v>
      </c>
      <c r="AB25" s="14"/>
      <c r="AC25" s="1"/>
      <c r="AD25" s="12" t="s">
        <v>7</v>
      </c>
      <c r="AE25" s="12" t="s">
        <v>1</v>
      </c>
      <c r="AF25" s="12" t="s">
        <v>8</v>
      </c>
      <c r="AG25" s="12" t="s">
        <v>10</v>
      </c>
      <c r="AH25" s="12" t="s">
        <v>9</v>
      </c>
      <c r="AI25" s="12" t="s">
        <v>0</v>
      </c>
      <c r="AJ25" s="12" t="s">
        <v>11</v>
      </c>
    </row>
    <row r="26" spans="3:37">
      <c r="C26" s="3" t="str">
        <f>IF(DAY(EneDom1)=1,"",IF(AND(YEAR(EneDom1+1)=Año_Calendario,MONTH(EneDom1+1)=1),EneDom1+1,""))</f>
        <v/>
      </c>
      <c r="D26" s="3" t="str">
        <f>IF(DAY(EneDom1)=1,"",IF(AND(YEAR(EneDom1+2)=Año_Calendario,MONTH(EneDom1+2)=1),EneDom1+2,""))</f>
        <v/>
      </c>
      <c r="E26" s="3" t="str">
        <f>IF(DAY(EneDom1)=1,"",IF(AND(YEAR(EneDom1+3)=Año_Calendario,MONTH(EneDom1+3)=1),EneDom1+3,""))</f>
        <v/>
      </c>
      <c r="F26" s="3" t="str">
        <f>IF(DAY(EneDom1)=1,"",IF(AND(YEAR(EneDom1+4)=Año_Calendario,MONTH(EneDom1+4)=1),EneDom1+4,""))</f>
        <v/>
      </c>
      <c r="G26" s="3" t="str">
        <f>IF(DAY(EneDom1)=1,"",IF(AND(YEAR(EneDom1+5)=Año_Calendario,MONTH(EneDom1+5)=1),EneDom1+5,""))</f>
        <v/>
      </c>
      <c r="H26" s="3">
        <f>IF(DAY(EneDom1)=1,"",IF(AND(YEAR(EneDom1+6)=Año_Calendario,MONTH(EneDom1+6)=1),EneDom1+6,""))</f>
        <v>40544</v>
      </c>
      <c r="I26" s="3">
        <f>IF(DAY(EneDom1)=1,IF(AND(YEAR(EneDom1)=Año_Calendario,MONTH(EneDom1)=1),EneDom1,""),IF(AND(YEAR(EneDom1+7)=Año_Calendario,MONTH(EneDom1+7)=1),EneDom1+7,""))</f>
        <v>40545</v>
      </c>
      <c r="J26" s="15"/>
      <c r="K26" s="3"/>
      <c r="L26" s="3" t="str">
        <f>IF(DAY(FebDom1)=1,"",IF(AND(YEAR(FebDom1+1)=Año_Calendario,MONTH(FebDom1+1)=2),FebDom1+1,""))</f>
        <v/>
      </c>
      <c r="M26" s="3">
        <f>IF(DAY(FebDom1)=1,"",IF(AND(YEAR(FebDom1+2)=Año_Calendario,MONTH(FebDom1+2)=2),FebDom1+2,""))</f>
        <v>40575</v>
      </c>
      <c r="N26" s="3">
        <f>IF(DAY(FebDom1)=1,"",IF(AND(YEAR(FebDom1+3)=Año_Calendario,MONTH(FebDom1+3)=2),FebDom1+3,""))</f>
        <v>40576</v>
      </c>
      <c r="O26" s="3">
        <f>IF(DAY(FebDom1)=1,"",IF(AND(YEAR(FebDom1+4)=Año_Calendario,MONTH(FebDom1+4)=2),FebDom1+4,""))</f>
        <v>40577</v>
      </c>
      <c r="P26" s="3">
        <f>IF(DAY(FebDom1)=1,"",IF(AND(YEAR(FebDom1+5)=Año_Calendario,MONTH(FebDom1+5)=2),FebDom1+5,""))</f>
        <v>40578</v>
      </c>
      <c r="Q26" s="3">
        <f>IF(DAY(FebDom1)=1,"",IF(AND(YEAR(FebDom1+6)=Año_Calendario,MONTH(FebDom1+6)=2),FebDom1+6,""))</f>
        <v>40579</v>
      </c>
      <c r="R26" s="3">
        <f>IF(DAY(FebDom1)=1,IF(AND(YEAR(FebDom1)=Año_Calendario,MONTH(FebDom1)=2),FebDom1,""),IF(AND(YEAR(FebDom1+7)=Año_Calendario,MONTH(FebDom1+7)=2),FebDom1+7,""))</f>
        <v>40580</v>
      </c>
      <c r="S26" s="15"/>
      <c r="U26" s="3" t="str">
        <f>IF(DAY(MarDom1)=1,"",IF(AND(YEAR(MarDom1+1)=Año_Calendario,MONTH(MarDom1+1)=3),MarDom1+1,""))</f>
        <v/>
      </c>
      <c r="V26" s="3">
        <f>IF(DAY(MarDom1)=1,"",IF(AND(YEAR(MarDom1+2)=Año_Calendario,MONTH(MarDom1+2)=3),MarDom1+2,""))</f>
        <v>40603</v>
      </c>
      <c r="W26" s="3">
        <f>IF(DAY(MarDom1)=1,"",IF(AND(YEAR(MarDom1+3)=Año_Calendario,MONTH(MarDom1+3)=3),MarDom1+3,""))</f>
        <v>40604</v>
      </c>
      <c r="X26" s="3">
        <f>IF(DAY(MarDom1)=1,"",IF(AND(YEAR(MarDom1+4)=Año_Calendario,MONTH(MarDom1+4)=3),MarDom1+4,""))</f>
        <v>40605</v>
      </c>
      <c r="Y26" s="3">
        <f>IF(DAY(MarDom1)=1,"",IF(AND(YEAR(MarDom1+5)=Año_Calendario,MONTH(MarDom1+5)=3),MarDom1+5,""))</f>
        <v>40606</v>
      </c>
      <c r="Z26" s="3">
        <f>IF(DAY(MarDom1)=1,"",IF(AND(YEAR(MarDom1+6)=Año_Calendario,MONTH(MarDom1+6)=3),MarDom1+6,""))</f>
        <v>40607</v>
      </c>
      <c r="AA26" s="3">
        <f>IF(DAY(MarDom1)=1,IF(AND(YEAR(MarDom1)=Año_Calendario,MONTH(MarDom1)=3),MarDom1,""),IF(AND(YEAR(MarDom1+7)=Año_Calendario,MONTH(MarDom1+7)=3),MarDom1+7,""))</f>
        <v>40608</v>
      </c>
      <c r="AB26" s="15"/>
      <c r="AC26" s="2"/>
      <c r="AD26" s="3" t="str">
        <f>IF(DAY(AbrDom1)=1,"",IF(AND(YEAR(AbrDom1+1)=Año_Calendario,MONTH(AbrDom1+1)=4),AbrDom1+1,""))</f>
        <v/>
      </c>
      <c r="AE26" s="3" t="str">
        <f>IF(DAY(AbrDom1)=1,"",IF(AND(YEAR(AbrDom1+2)=Año_Calendario,MONTH(AbrDom1+2)=4),AbrDom1+2,""))</f>
        <v/>
      </c>
      <c r="AF26" s="3" t="str">
        <f>IF(DAY(AbrDom1)=1,"",IF(AND(YEAR(AbrDom1+3)=Año_Calendario,MONTH(AbrDom1+3)=4),AbrDom1+3,""))</f>
        <v/>
      </c>
      <c r="AG26" s="3" t="str">
        <f>IF(DAY(AbrDom1)=1,"",IF(AND(YEAR(AbrDom1+4)=Año_Calendario,MONTH(AbrDom1+4)=4),AbrDom1+4,""))</f>
        <v/>
      </c>
      <c r="AH26" s="3">
        <f>IF(DAY(AbrDom1)=1,"",IF(AND(YEAR(AbrDom1+5)=Año_Calendario,MONTH(AbrDom1+5)=4),AbrDom1+5,""))</f>
        <v>40634</v>
      </c>
      <c r="AI26" s="3">
        <f>IF(DAY(AbrDom1)=1,"",IF(AND(YEAR(AbrDom1+6)=Año_Calendario,MONTH(AbrDom1+6)=4),AbrDom1+6,""))</f>
        <v>40635</v>
      </c>
      <c r="AJ26" s="3">
        <f>IF(DAY(AbrDom1)=1,IF(AND(YEAR(AbrDom1)=Año_Calendario,MONTH(AbrDom1)=4),AbrDom1,""),IF(AND(YEAR(AbrDom1+7)=Año_Calendario,MONTH(AbrDom1+7)=4),AbrDom1+7,""))</f>
        <v>40636</v>
      </c>
    </row>
    <row r="27" spans="3:37">
      <c r="C27" s="3">
        <f>IF(DAY(EneDom1)=1,IF(AND(YEAR(EneDom1+1)=Año_Calendario,MONTH(EneDom1+1)=1),EneDom1+1,""),IF(AND(YEAR(EneDom1+8)=Año_Calendario,MONTH(EneDom1+8)=1),EneDom1+8,""))</f>
        <v>40546</v>
      </c>
      <c r="D27" s="3">
        <f>IF(DAY(EneDom1)=1,IF(AND(YEAR(EneDom1+2)=Año_Calendario,MONTH(EneDom1+2)=1),EneDom1+2,""),IF(AND(YEAR(EneDom1+9)=Año_Calendario,MONTH(EneDom1+9)=1),EneDom1+9,""))</f>
        <v>40547</v>
      </c>
      <c r="E27" s="3">
        <f>IF(DAY(EneDom1)=1,IF(AND(YEAR(EneDom1+3)=Año_Calendario,MONTH(EneDom1+3)=1),EneDom1+3,""),IF(AND(YEAR(EneDom1+10)=Año_Calendario,MONTH(EneDom1+10)=1),EneDom1+10,""))</f>
        <v>40548</v>
      </c>
      <c r="F27" s="3">
        <f>IF(DAY(EneDom1)=1,IF(AND(YEAR(EneDom1+4)=Año_Calendario,MONTH(EneDom1+4)=1),EneDom1+4,""),IF(AND(YEAR(EneDom1+11)=Año_Calendario,MONTH(EneDom1+11)=1),EneDom1+11,""))</f>
        <v>40549</v>
      </c>
      <c r="G27" s="3">
        <f>IF(DAY(EneDom1)=1,IF(AND(YEAR(EneDom1+5)=Año_Calendario,MONTH(EneDom1+5)=1),EneDom1+5,""),IF(AND(YEAR(EneDom1+12)=Año_Calendario,MONTH(EneDom1+12)=1),EneDom1+12,""))</f>
        <v>40550</v>
      </c>
      <c r="H27" s="3">
        <f>IF(DAY(EneDom1)=1,IF(AND(YEAR(EneDom1+6)=Año_Calendario,MONTH(EneDom1+6)=1),EneDom1+6,""),IF(AND(YEAR(EneDom1+13)=Año_Calendario,MONTH(EneDom1+13)=1),EneDom1+13,""))</f>
        <v>40551</v>
      </c>
      <c r="I27" s="3">
        <f>IF(DAY(EneDom1)=1,IF(AND(YEAR(EneDom1+7)=Año_Calendario,MONTH(EneDom1+7)=1),EneDom1+7,""),IF(AND(YEAR(EneDom1+14)=Año_Calendario,MONTH(EneDom1+14)=1),EneDom1+14,""))</f>
        <v>40552</v>
      </c>
      <c r="J27" s="15"/>
      <c r="K27" s="3"/>
      <c r="L27" s="3">
        <f>IF(DAY(FebDom1)=1,IF(AND(YEAR(FebDom1+1)=Año_Calendario,MONTH(FebDom1+1)=2),FebDom1+1,""),IF(AND(YEAR(FebDom1+8)=Año_Calendario,MONTH(FebDom1+8)=2),FebDom1+8,""))</f>
        <v>40581</v>
      </c>
      <c r="M27" s="3">
        <f>IF(DAY(FebDom1)=1,IF(AND(YEAR(FebDom1+2)=Año_Calendario,MONTH(FebDom1+2)=2),FebDom1+2,""),IF(AND(YEAR(FebDom1+9)=Año_Calendario,MONTH(FebDom1+9)=2),FebDom1+9,""))</f>
        <v>40582</v>
      </c>
      <c r="N27" s="3">
        <f>IF(DAY(FebDom1)=1,IF(AND(YEAR(FebDom1+3)=Año_Calendario,MONTH(FebDom1+3)=2),FebDom1+3,""),IF(AND(YEAR(FebDom1+10)=Año_Calendario,MONTH(FebDom1+10)=2),FebDom1+10,""))</f>
        <v>40583</v>
      </c>
      <c r="O27" s="3">
        <f>IF(DAY(FebDom1)=1,IF(AND(YEAR(FebDom1+4)=Año_Calendario,MONTH(FebDom1+4)=2),FebDom1+4,""),IF(AND(YEAR(FebDom1+11)=Año_Calendario,MONTH(FebDom1+11)=2),FebDom1+11,""))</f>
        <v>40584</v>
      </c>
      <c r="P27" s="3">
        <f>IF(DAY(FebDom1)=1,IF(AND(YEAR(FebDom1+5)=Año_Calendario,MONTH(FebDom1+5)=2),FebDom1+5,""),IF(AND(YEAR(FebDom1+12)=Año_Calendario,MONTH(FebDom1+12)=2),FebDom1+12,""))</f>
        <v>40585</v>
      </c>
      <c r="Q27" s="3">
        <f>IF(DAY(FebDom1)=1,IF(AND(YEAR(FebDom1+6)=Año_Calendario,MONTH(FebDom1+6)=2),FebDom1+6,""),IF(AND(YEAR(FebDom1+13)=Año_Calendario,MONTH(FebDom1+13)=2),FebDom1+13,""))</f>
        <v>40586</v>
      </c>
      <c r="R27" s="3">
        <f>IF(DAY(FebDom1)=1,IF(AND(YEAR(FebDom1+7)=Año_Calendario,MONTH(FebDom1+7)=2),FebDom1+7,""),IF(AND(YEAR(FebDom1+14)=Año_Calendario,MONTH(FebDom1+14)=2),FebDom1+14,""))</f>
        <v>40587</v>
      </c>
      <c r="S27" s="15"/>
      <c r="U27" s="3">
        <f>IF(DAY(MarDom1)=1,IF(AND(YEAR(MarDom1+1)=Año_Calendario,MONTH(MarDom1+1)=3),MarDom1+1,""),IF(AND(YEAR(MarDom1+8)=Año_Calendario,MONTH(MarDom1+8)=3),MarDom1+8,""))</f>
        <v>40609</v>
      </c>
      <c r="V27" s="3">
        <f>IF(DAY(MarDom1)=1,IF(AND(YEAR(MarDom1+2)=Año_Calendario,MONTH(MarDom1+2)=3),MarDom1+2,""),IF(AND(YEAR(MarDom1+9)=Año_Calendario,MONTH(MarDom1+9)=3),MarDom1+9,""))</f>
        <v>40610</v>
      </c>
      <c r="W27" s="3">
        <f>IF(DAY(MarDom1)=1,IF(AND(YEAR(MarDom1+3)=Año_Calendario,MONTH(MarDom1+3)=3),MarDom1+3,""),IF(AND(YEAR(MarDom1+10)=Año_Calendario,MONTH(MarDom1+10)=3),MarDom1+10,""))</f>
        <v>40611</v>
      </c>
      <c r="X27" s="3">
        <f>IF(DAY(MarDom1)=1,IF(AND(YEAR(MarDom1+4)=Año_Calendario,MONTH(MarDom1+4)=3),MarDom1+4,""),IF(AND(YEAR(MarDom1+11)=Año_Calendario,MONTH(MarDom1+11)=3),MarDom1+11,""))</f>
        <v>40612</v>
      </c>
      <c r="Y27" s="3">
        <f>IF(DAY(MarDom1)=1,IF(AND(YEAR(MarDom1+5)=Año_Calendario,MONTH(MarDom1+5)=3),MarDom1+5,""),IF(AND(YEAR(MarDom1+12)=Año_Calendario,MONTH(MarDom1+12)=3),MarDom1+12,""))</f>
        <v>40613</v>
      </c>
      <c r="Z27" s="3">
        <f>IF(DAY(MarDom1)=1,IF(AND(YEAR(MarDom1+6)=Año_Calendario,MONTH(MarDom1+6)=3),MarDom1+6,""),IF(AND(YEAR(MarDom1+13)=Año_Calendario,MONTH(MarDom1+13)=3),MarDom1+13,""))</f>
        <v>40614</v>
      </c>
      <c r="AA27" s="3">
        <f>IF(DAY(MarDom1)=1,IF(AND(YEAR(MarDom1+7)=Año_Calendario,MONTH(MarDom1+7)=3),MarDom1+7,""),IF(AND(YEAR(MarDom1+14)=Año_Calendario,MONTH(MarDom1+14)=3),MarDom1+14,""))</f>
        <v>40615</v>
      </c>
      <c r="AB27" s="15"/>
      <c r="AC27" s="3"/>
      <c r="AD27" s="3">
        <f>IF(DAY(AbrDom1)=1,IF(AND(YEAR(AbrDom1+1)=Año_Calendario,MONTH(AbrDom1+1)=4),AbrDom1+1,""),IF(AND(YEAR(AbrDom1+8)=Año_Calendario,MONTH(AbrDom1+8)=4),AbrDom1+8,""))</f>
        <v>40637</v>
      </c>
      <c r="AE27" s="3">
        <f>IF(DAY(AbrDom1)=1,IF(AND(YEAR(AbrDom1+2)=Año_Calendario,MONTH(AbrDom1+2)=4),AbrDom1+2,""),IF(AND(YEAR(AbrDom1+9)=Año_Calendario,MONTH(AbrDom1+9)=4),AbrDom1+9,""))</f>
        <v>40638</v>
      </c>
      <c r="AF27" s="3">
        <f>IF(DAY(AbrDom1)=1,IF(AND(YEAR(AbrDom1+3)=Año_Calendario,MONTH(AbrDom1+3)=4),AbrDom1+3,""),IF(AND(YEAR(AbrDom1+10)=Año_Calendario,MONTH(AbrDom1+10)=4),AbrDom1+10,""))</f>
        <v>40639</v>
      </c>
      <c r="AG27" s="3">
        <f>IF(DAY(AbrDom1)=1,IF(AND(YEAR(AbrDom1+4)=Año_Calendario,MONTH(AbrDom1+4)=4),AbrDom1+4,""),IF(AND(YEAR(AbrDom1+11)=Año_Calendario,MONTH(AbrDom1+11)=4),AbrDom1+11,""))</f>
        <v>40640</v>
      </c>
      <c r="AH27" s="3">
        <f>IF(DAY(AbrDom1)=1,IF(AND(YEAR(AbrDom1+5)=Año_Calendario,MONTH(AbrDom1+5)=4),AbrDom1+5,""),IF(AND(YEAR(AbrDom1+12)=Año_Calendario,MONTH(AbrDom1+12)=4),AbrDom1+12,""))</f>
        <v>40641</v>
      </c>
      <c r="AI27" s="3">
        <f>IF(DAY(AbrDom1)=1,IF(AND(YEAR(AbrDom1+6)=Año_Calendario,MONTH(AbrDom1+6)=4),AbrDom1+6,""),IF(AND(YEAR(AbrDom1+13)=Año_Calendario,MONTH(AbrDom1+13)=4),AbrDom1+13,""))</f>
        <v>40642</v>
      </c>
      <c r="AJ27" s="3">
        <f>IF(DAY(AbrDom1)=1,IF(AND(YEAR(AbrDom1+7)=Año_Calendario,MONTH(AbrDom1+7)=4),AbrDom1+7,""),IF(AND(YEAR(AbrDom1+14)=Año_Calendario,MONTH(AbrDom1+14)=4),AbrDom1+14,""))</f>
        <v>40643</v>
      </c>
    </row>
    <row r="28" spans="3:37">
      <c r="C28" s="3">
        <f>IF(DAY(EneDom1)=1,IF(AND(YEAR(EneDom1+8)=Año_Calendario,MONTH(EneDom1+8)=1),EneDom1+8,""),IF(AND(YEAR(EneDom1+15)=Año_Calendario,MONTH(EneDom1+15)=1),EneDom1+15,""))</f>
        <v>40553</v>
      </c>
      <c r="D28" s="3">
        <f>IF(DAY(EneDom1)=1,IF(AND(YEAR(EneDom1+9)=Año_Calendario,MONTH(EneDom1+9)=1),EneDom1+9,""),IF(AND(YEAR(EneDom1+16)=Año_Calendario,MONTH(EneDom1+16)=1),EneDom1+16,""))</f>
        <v>40554</v>
      </c>
      <c r="E28" s="3">
        <f>IF(DAY(EneDom1)=1,IF(AND(YEAR(EneDom1+10)=Año_Calendario,MONTH(EneDom1+10)=1),EneDom1+10,""),IF(AND(YEAR(EneDom1+17)=Año_Calendario,MONTH(EneDom1+17)=1),EneDom1+17,""))</f>
        <v>40555</v>
      </c>
      <c r="F28" s="3">
        <f>IF(DAY(EneDom1)=1,IF(AND(YEAR(EneDom1+11)=Año_Calendario,MONTH(EneDom1+11)=1),EneDom1+11,""),IF(AND(YEAR(EneDom1+18)=Año_Calendario,MONTH(EneDom1+18)=1),EneDom1+18,""))</f>
        <v>40556</v>
      </c>
      <c r="G28" s="3">
        <f>IF(DAY(EneDom1)=1,IF(AND(YEAR(EneDom1+12)=Año_Calendario,MONTH(EneDom1+12)=1),EneDom1+12,""),IF(AND(YEAR(EneDom1+19)=Año_Calendario,MONTH(EneDom1+19)=1),EneDom1+19,""))</f>
        <v>40557</v>
      </c>
      <c r="H28" s="3">
        <f>IF(DAY(EneDom1)=1,IF(AND(YEAR(EneDom1+13)=Año_Calendario,MONTH(EneDom1+13)=1),EneDom1+13,""),IF(AND(YEAR(EneDom1+20)=Año_Calendario,MONTH(EneDom1+20)=1),EneDom1+20,""))</f>
        <v>40558</v>
      </c>
      <c r="I28" s="3">
        <f>IF(DAY(EneDom1)=1,IF(AND(YEAR(EneDom1+14)=Año_Calendario,MONTH(EneDom1+14)=1),EneDom1+14,""),IF(AND(YEAR(EneDom1+21)=Año_Calendario,MONTH(EneDom1+21)=1),EneDom1+21,""))</f>
        <v>40559</v>
      </c>
      <c r="J28" s="15"/>
      <c r="K28" s="3"/>
      <c r="L28" s="3">
        <f>IF(DAY(FebDom1)=1,IF(AND(YEAR(FebDom1+8)=Año_Calendario,MONTH(FebDom1+8)=2),FebDom1+8,""),IF(AND(YEAR(FebDom1+15)=Año_Calendario,MONTH(FebDom1+15)=2),FebDom1+15,""))</f>
        <v>40588</v>
      </c>
      <c r="M28" s="3">
        <f>IF(DAY(FebDom1)=1,IF(AND(YEAR(FebDom1+9)=Año_Calendario,MONTH(FebDom1+9)=2),FebDom1+9,""),IF(AND(YEAR(FebDom1+16)=Año_Calendario,MONTH(FebDom1+16)=2),FebDom1+16,""))</f>
        <v>40589</v>
      </c>
      <c r="N28" s="3">
        <f>IF(DAY(FebDom1)=1,IF(AND(YEAR(FebDom1+10)=Año_Calendario,MONTH(FebDom1+10)=2),FebDom1+10,""),IF(AND(YEAR(FebDom1+17)=Año_Calendario,MONTH(FebDom1+17)=2),FebDom1+17,""))</f>
        <v>40590</v>
      </c>
      <c r="O28" s="3">
        <f>IF(DAY(FebDom1)=1,IF(AND(YEAR(FebDom1+11)=Año_Calendario,MONTH(FebDom1+11)=2),FebDom1+11,""),IF(AND(YEAR(FebDom1+18)=Año_Calendario,MONTH(FebDom1+18)=2),FebDom1+18,""))</f>
        <v>40591</v>
      </c>
      <c r="P28" s="3">
        <f>IF(DAY(FebDom1)=1,IF(AND(YEAR(FebDom1+12)=Año_Calendario,MONTH(FebDom1+12)=2),FebDom1+12,""),IF(AND(YEAR(FebDom1+19)=Año_Calendario,MONTH(FebDom1+19)=2),FebDom1+19,""))</f>
        <v>40592</v>
      </c>
      <c r="Q28" s="3">
        <f>IF(DAY(FebDom1)=1,IF(AND(YEAR(FebDom1+13)=Año_Calendario,MONTH(FebDom1+13)=2),FebDom1+13,""),IF(AND(YEAR(FebDom1+20)=Año_Calendario,MONTH(FebDom1+20)=2),FebDom1+20,""))</f>
        <v>40593</v>
      </c>
      <c r="R28" s="3">
        <f>IF(DAY(FebDom1)=1,IF(AND(YEAR(FebDom1+14)=Año_Calendario,MONTH(FebDom1+14)=2),FebDom1+14,""),IF(AND(YEAR(FebDom1+21)=Año_Calendario,MONTH(FebDom1+21)=2),FebDom1+21,""))</f>
        <v>40594</v>
      </c>
      <c r="S28" s="15"/>
      <c r="U28" s="3">
        <f>IF(DAY(MarDom1)=1,IF(AND(YEAR(MarDom1+8)=Año_Calendario,MONTH(MarDom1+8)=3),MarDom1+8,""),IF(AND(YEAR(MarDom1+15)=Año_Calendario,MONTH(MarDom1+15)=3),MarDom1+15,""))</f>
        <v>40616</v>
      </c>
      <c r="V28" s="3">
        <f>IF(DAY(MarDom1)=1,IF(AND(YEAR(MarDom1+9)=Año_Calendario,MONTH(MarDom1+9)=3),MarDom1+9,""),IF(AND(YEAR(MarDom1+16)=Año_Calendario,MONTH(MarDom1+16)=3),MarDom1+16,""))</f>
        <v>40617</v>
      </c>
      <c r="W28" s="3">
        <f>IF(DAY(MarDom1)=1,IF(AND(YEAR(MarDom1+10)=Año_Calendario,MONTH(MarDom1+10)=3),MarDom1+10,""),IF(AND(YEAR(MarDom1+17)=Año_Calendario,MONTH(MarDom1+17)=3),MarDom1+17,""))</f>
        <v>40618</v>
      </c>
      <c r="X28" s="3">
        <f>IF(DAY(MarDom1)=1,IF(AND(YEAR(MarDom1+11)=Año_Calendario,MONTH(MarDom1+11)=3),MarDom1+11,""),IF(AND(YEAR(MarDom1+18)=Año_Calendario,MONTH(MarDom1+18)=3),MarDom1+18,""))</f>
        <v>40619</v>
      </c>
      <c r="Y28" s="3">
        <f>IF(DAY(MarDom1)=1,IF(AND(YEAR(MarDom1+12)=Año_Calendario,MONTH(MarDom1+12)=3),MarDom1+12,""),IF(AND(YEAR(MarDom1+19)=Año_Calendario,MONTH(MarDom1+19)=3),MarDom1+19,""))</f>
        <v>40620</v>
      </c>
      <c r="Z28" s="3">
        <f>IF(DAY(MarDom1)=1,IF(AND(YEAR(MarDom1+13)=Año_Calendario,MONTH(MarDom1+13)=3),MarDom1+13,""),IF(AND(YEAR(MarDom1+20)=Año_Calendario,MONTH(MarDom1+20)=3),MarDom1+20,""))</f>
        <v>40621</v>
      </c>
      <c r="AA28" s="3">
        <f>IF(DAY(MarDom1)=1,IF(AND(YEAR(MarDom1+14)=Año_Calendario,MONTH(MarDom1+14)=3),MarDom1+14,""),IF(AND(YEAR(MarDom1+21)=Año_Calendario,MONTH(MarDom1+21)=3),MarDom1+21,""))</f>
        <v>40622</v>
      </c>
      <c r="AB28" s="15"/>
      <c r="AC28" s="3"/>
      <c r="AD28" s="3">
        <f>IF(DAY(AbrDom1)=1,IF(AND(YEAR(AbrDom1+8)=Año_Calendario,MONTH(AbrDom1+8)=4),AbrDom1+8,""),IF(AND(YEAR(AbrDom1+15)=Año_Calendario,MONTH(AbrDom1+15)=4),AbrDom1+15,""))</f>
        <v>40644</v>
      </c>
      <c r="AE28" s="3">
        <f>IF(DAY(AbrDom1)=1,IF(AND(YEAR(AbrDom1+9)=Año_Calendario,MONTH(AbrDom1+9)=4),AbrDom1+9,""),IF(AND(YEAR(AbrDom1+16)=Año_Calendario,MONTH(AbrDom1+16)=4),AbrDom1+16,""))</f>
        <v>40645</v>
      </c>
      <c r="AF28" s="3">
        <f>IF(DAY(AbrDom1)=1,IF(AND(YEAR(AbrDom1+10)=Año_Calendario,MONTH(AbrDom1+10)=4),AbrDom1+10,""),IF(AND(YEAR(AbrDom1+17)=Año_Calendario,MONTH(AbrDom1+17)=4),AbrDom1+17,""))</f>
        <v>40646</v>
      </c>
      <c r="AG28" s="3">
        <f>IF(DAY(AbrDom1)=1,IF(AND(YEAR(AbrDom1+11)=Año_Calendario,MONTH(AbrDom1+11)=4),AbrDom1+11,""),IF(AND(YEAR(AbrDom1+18)=Año_Calendario,MONTH(AbrDom1+18)=4),AbrDom1+18,""))</f>
        <v>40647</v>
      </c>
      <c r="AH28" s="3">
        <f>IF(DAY(AbrDom1)=1,IF(AND(YEAR(AbrDom1+12)=Año_Calendario,MONTH(AbrDom1+12)=4),AbrDom1+12,""),IF(AND(YEAR(AbrDom1+19)=Año_Calendario,MONTH(AbrDom1+19)=4),AbrDom1+19,""))</f>
        <v>40648</v>
      </c>
      <c r="AI28" s="3">
        <f>IF(DAY(AbrDom1)=1,IF(AND(YEAR(AbrDom1+13)=Año_Calendario,MONTH(AbrDom1+13)=4),AbrDom1+13,""),IF(AND(YEAR(AbrDom1+20)=Año_Calendario,MONTH(AbrDom1+20)=4),AbrDom1+20,""))</f>
        <v>40649</v>
      </c>
      <c r="AJ28" s="3">
        <f>IF(DAY(AbrDom1)=1,IF(AND(YEAR(AbrDom1+14)=Año_Calendario,MONTH(AbrDom1+14)=4),AbrDom1+14,""),IF(AND(YEAR(AbrDom1+21)=Año_Calendario,MONTH(AbrDom1+21)=4),AbrDom1+21,""))</f>
        <v>40650</v>
      </c>
    </row>
    <row r="29" spans="3:37">
      <c r="C29" s="3">
        <f>IF(DAY(EneDom1)=1,IF(AND(YEAR(EneDom1+15)=Año_Calendario,MONTH(EneDom1+15)=1),EneDom1+15,""),IF(AND(YEAR(EneDom1+22)=Año_Calendario,MONTH(EneDom1+22)=1),EneDom1+22,""))</f>
        <v>40560</v>
      </c>
      <c r="D29" s="3">
        <f>IF(DAY(EneDom1)=1,IF(AND(YEAR(EneDom1+16)=Año_Calendario,MONTH(EneDom1+16)=1),EneDom1+16,""),IF(AND(YEAR(EneDom1+23)=Año_Calendario,MONTH(EneDom1+23)=1),EneDom1+23,""))</f>
        <v>40561</v>
      </c>
      <c r="E29" s="3">
        <f>IF(DAY(EneDom1)=1,IF(AND(YEAR(EneDom1+17)=Año_Calendario,MONTH(EneDom1+17)=1),EneDom1+17,""),IF(AND(YEAR(EneDom1+24)=Año_Calendario,MONTH(EneDom1+24)=1),EneDom1+24,""))</f>
        <v>40562</v>
      </c>
      <c r="F29" s="3">
        <f>IF(DAY(EneDom1)=1,IF(AND(YEAR(EneDom1+18)=Año_Calendario,MONTH(EneDom1+18)=1),EneDom1+18,""),IF(AND(YEAR(EneDom1+25)=Año_Calendario,MONTH(EneDom1+25)=1),EneDom1+25,""))</f>
        <v>40563</v>
      </c>
      <c r="G29" s="3">
        <f>IF(DAY(EneDom1)=1,IF(AND(YEAR(EneDom1+19)=Año_Calendario,MONTH(EneDom1+19)=1),EneDom1+19,""),IF(AND(YEAR(EneDom1+26)=Año_Calendario,MONTH(EneDom1+26)=1),EneDom1+26,""))</f>
        <v>40564</v>
      </c>
      <c r="H29" s="3">
        <f>IF(DAY(EneDom1)=1,IF(AND(YEAR(EneDom1+20)=Año_Calendario,MONTH(EneDom1+20)=1),EneDom1+20,""),IF(AND(YEAR(EneDom1+27)=Año_Calendario,MONTH(EneDom1+27)=1),EneDom1+27,""))</f>
        <v>40565</v>
      </c>
      <c r="I29" s="3">
        <f>IF(DAY(EneDom1)=1,IF(AND(YEAR(EneDom1+21)=Año_Calendario,MONTH(EneDom1+21)=1),EneDom1+21,""),IF(AND(YEAR(EneDom1+28)=Año_Calendario,MONTH(EneDom1+28)=1),EneDom1+28,""))</f>
        <v>40566</v>
      </c>
      <c r="J29" s="15"/>
      <c r="K29" s="3"/>
      <c r="L29" s="3">
        <f>IF(DAY(FebDom1)=1,IF(AND(YEAR(FebDom1+15)=Año_Calendario,MONTH(FebDom1+15)=2),FebDom1+15,""),IF(AND(YEAR(FebDom1+22)=Año_Calendario,MONTH(FebDom1+22)=2),FebDom1+22,""))</f>
        <v>40595</v>
      </c>
      <c r="M29" s="3">
        <f>IF(DAY(FebDom1)=1,IF(AND(YEAR(FebDom1+16)=Año_Calendario,MONTH(FebDom1+16)=2),FebDom1+16,""),IF(AND(YEAR(FebDom1+23)=Año_Calendario,MONTH(FebDom1+23)=2),FebDom1+23,""))</f>
        <v>40596</v>
      </c>
      <c r="N29" s="3">
        <f>IF(DAY(FebDom1)=1,IF(AND(YEAR(FebDom1+17)=Año_Calendario,MONTH(FebDom1+17)=2),FebDom1+17,""),IF(AND(YEAR(FebDom1+24)=Año_Calendario,MONTH(FebDom1+24)=2),FebDom1+24,""))</f>
        <v>40597</v>
      </c>
      <c r="O29" s="3">
        <f>IF(DAY(FebDom1)=1,IF(AND(YEAR(FebDom1+18)=Año_Calendario,MONTH(FebDom1+18)=2),FebDom1+18,""),IF(AND(YEAR(FebDom1+25)=Año_Calendario,MONTH(FebDom1+25)=2),FebDom1+25,""))</f>
        <v>40598</v>
      </c>
      <c r="P29" s="3">
        <f>IF(DAY(FebDom1)=1,IF(AND(YEAR(FebDom1+19)=Año_Calendario,MONTH(FebDom1+19)=2),FebDom1+19,""),IF(AND(YEAR(FebDom1+26)=Año_Calendario,MONTH(FebDom1+26)=2),FebDom1+26,""))</f>
        <v>40599</v>
      </c>
      <c r="Q29" s="3">
        <f>IF(DAY(FebDom1)=1,IF(AND(YEAR(FebDom1+20)=Año_Calendario,MONTH(FebDom1+20)=2),FebDom1+20,""),IF(AND(YEAR(FebDom1+27)=Año_Calendario,MONTH(FebDom1+27)=2),FebDom1+27,""))</f>
        <v>40600</v>
      </c>
      <c r="R29" s="3">
        <f>IF(DAY(FebDom1)=1,IF(AND(YEAR(FebDom1+21)=Año_Calendario,MONTH(FebDom1+21)=2),FebDom1+21,""),IF(AND(YEAR(FebDom1+28)=Año_Calendario,MONTH(FebDom1+28)=2),FebDom1+28,""))</f>
        <v>40601</v>
      </c>
      <c r="S29" s="15"/>
      <c r="U29" s="3">
        <f>IF(DAY(MarDom1)=1,IF(AND(YEAR(MarDom1+15)=Año_Calendario,MONTH(MarDom1+15)=3),MarDom1+15,""),IF(AND(YEAR(MarDom1+22)=Año_Calendario,MONTH(MarDom1+22)=3),MarDom1+22,""))</f>
        <v>40623</v>
      </c>
      <c r="V29" s="3">
        <f>IF(DAY(MarDom1)=1,IF(AND(YEAR(MarDom1+16)=Año_Calendario,MONTH(MarDom1+16)=3),MarDom1+16,""),IF(AND(YEAR(MarDom1+23)=Año_Calendario,MONTH(MarDom1+23)=3),MarDom1+23,""))</f>
        <v>40624</v>
      </c>
      <c r="W29" s="3">
        <f>IF(DAY(MarDom1)=1,IF(AND(YEAR(MarDom1+17)=Año_Calendario,MONTH(MarDom1+17)=3),MarDom1+17,""),IF(AND(YEAR(MarDom1+24)=Año_Calendario,MONTH(MarDom1+24)=3),MarDom1+24,""))</f>
        <v>40625</v>
      </c>
      <c r="X29" s="3">
        <f>IF(DAY(MarDom1)=1,IF(AND(YEAR(MarDom1+18)=Año_Calendario,MONTH(MarDom1+18)=3),MarDom1+18,""),IF(AND(YEAR(MarDom1+25)=Año_Calendario,MONTH(MarDom1+25)=3),MarDom1+25,""))</f>
        <v>40626</v>
      </c>
      <c r="Y29" s="3">
        <f>IF(DAY(MarDom1)=1,IF(AND(YEAR(MarDom1+19)=Año_Calendario,MONTH(MarDom1+19)=3),MarDom1+19,""),IF(AND(YEAR(MarDom1+26)=Año_Calendario,MONTH(MarDom1+26)=3),MarDom1+26,""))</f>
        <v>40627</v>
      </c>
      <c r="Z29" s="3">
        <f>IF(DAY(MarDom1)=1,IF(AND(YEAR(MarDom1+20)=Año_Calendario,MONTH(MarDom1+20)=3),MarDom1+20,""),IF(AND(YEAR(MarDom1+27)=Año_Calendario,MONTH(MarDom1+27)=3),MarDom1+27,""))</f>
        <v>40628</v>
      </c>
      <c r="AA29" s="3">
        <f>IF(DAY(MarDom1)=1,IF(AND(YEAR(MarDom1+21)=Año_Calendario,MONTH(MarDom1+21)=3),MarDom1+21,""),IF(AND(YEAR(MarDom1+28)=Año_Calendario,MONTH(MarDom1+28)=3),MarDom1+28,""))</f>
        <v>40629</v>
      </c>
      <c r="AB29" s="15"/>
      <c r="AC29" s="3"/>
      <c r="AD29" s="3">
        <f>IF(DAY(AbrDom1)=1,IF(AND(YEAR(AbrDom1+15)=Año_Calendario,MONTH(AbrDom1+15)=4),AbrDom1+15,""),IF(AND(YEAR(AbrDom1+22)=Año_Calendario,MONTH(AbrDom1+22)=4),AbrDom1+22,""))</f>
        <v>40651</v>
      </c>
      <c r="AE29" s="3">
        <f>IF(DAY(AbrDom1)=1,IF(AND(YEAR(AbrDom1+16)=Año_Calendario,MONTH(AbrDom1+16)=4),AbrDom1+16,""),IF(AND(YEAR(AbrDom1+23)=Año_Calendario,MONTH(AbrDom1+23)=4),AbrDom1+23,""))</f>
        <v>40652</v>
      </c>
      <c r="AF29" s="3">
        <f>IF(DAY(AbrDom1)=1,IF(AND(YEAR(AbrDom1+17)=Año_Calendario,MONTH(AbrDom1+17)=4),AbrDom1+17,""),IF(AND(YEAR(AbrDom1+24)=Año_Calendario,MONTH(AbrDom1+24)=4),AbrDom1+24,""))</f>
        <v>40653</v>
      </c>
      <c r="AG29" s="3">
        <f>IF(DAY(AbrDom1)=1,IF(AND(YEAR(AbrDom1+18)=Año_Calendario,MONTH(AbrDom1+18)=4),AbrDom1+18,""),IF(AND(YEAR(AbrDom1+25)=Año_Calendario,MONTH(AbrDom1+25)=4),AbrDom1+25,""))</f>
        <v>40654</v>
      </c>
      <c r="AH29" s="3">
        <f>IF(DAY(AbrDom1)=1,IF(AND(YEAR(AbrDom1+19)=Año_Calendario,MONTH(AbrDom1+19)=4),AbrDom1+19,""),IF(AND(YEAR(AbrDom1+26)=Año_Calendario,MONTH(AbrDom1+26)=4),AbrDom1+26,""))</f>
        <v>40655</v>
      </c>
      <c r="AI29" s="3">
        <f>IF(DAY(AbrDom1)=1,IF(AND(YEAR(AbrDom1+20)=Año_Calendario,MONTH(AbrDom1+20)=4),AbrDom1+20,""),IF(AND(YEAR(AbrDom1+27)=Año_Calendario,MONTH(AbrDom1+27)=4),AbrDom1+27,""))</f>
        <v>40656</v>
      </c>
      <c r="AJ29" s="3">
        <f>IF(DAY(AbrDom1)=1,IF(AND(YEAR(AbrDom1+21)=Año_Calendario,MONTH(AbrDom1+21)=4),AbrDom1+21,""),IF(AND(YEAR(AbrDom1+28)=Año_Calendario,MONTH(AbrDom1+28)=4),AbrDom1+28,""))</f>
        <v>40657</v>
      </c>
    </row>
    <row r="30" spans="3:37">
      <c r="C30" s="3">
        <f>IF(DAY(EneDom1)=1,IF(AND(YEAR(EneDom1+22)=Año_Calendario,MONTH(EneDom1+22)=1),EneDom1+22,""),IF(AND(YEAR(EneDom1+29)=Año_Calendario,MONTH(EneDom1+29)=1),EneDom1+29,""))</f>
        <v>40567</v>
      </c>
      <c r="D30" s="3">
        <f>IF(DAY(EneDom1)=1,IF(AND(YEAR(EneDom1+23)=Año_Calendario,MONTH(EneDom1+23)=1),EneDom1+23,""),IF(AND(YEAR(EneDom1+30)=Año_Calendario,MONTH(EneDom1+30)=1),EneDom1+30,""))</f>
        <v>40568</v>
      </c>
      <c r="E30" s="3">
        <f>IF(DAY(EneDom1)=1,IF(AND(YEAR(EneDom1+24)=Año_Calendario,MONTH(EneDom1+24)=1),EneDom1+24,""),IF(AND(YEAR(EneDom1+31)=Año_Calendario,MONTH(EneDom1+31)=1),EneDom1+31,""))</f>
        <v>40569</v>
      </c>
      <c r="F30" s="3">
        <f>IF(DAY(EneDom1)=1,IF(AND(YEAR(EneDom1+25)=Año_Calendario,MONTH(EneDom1+25)=1),EneDom1+25,""),IF(AND(YEAR(EneDom1+32)=Año_Calendario,MONTH(EneDom1+32)=1),EneDom1+32,""))</f>
        <v>40570</v>
      </c>
      <c r="G30" s="3">
        <f>IF(DAY(EneDom1)=1,IF(AND(YEAR(EneDom1+26)=Año_Calendario,MONTH(EneDom1+26)=1),EneDom1+26,""),IF(AND(YEAR(EneDom1+33)=Año_Calendario,MONTH(EneDom1+33)=1),EneDom1+33,""))</f>
        <v>40571</v>
      </c>
      <c r="H30" s="3">
        <f>IF(DAY(EneDom1)=1,IF(AND(YEAR(EneDom1+27)=Año_Calendario,MONTH(EneDom1+27)=1),EneDom1+27,""),IF(AND(YEAR(EneDom1+34)=Año_Calendario,MONTH(EneDom1+34)=1),EneDom1+34,""))</f>
        <v>40572</v>
      </c>
      <c r="I30" s="3">
        <f>IF(DAY(EneDom1)=1,IF(AND(YEAR(EneDom1+28)=Año_Calendario,MONTH(EneDom1+28)=1),EneDom1+28,""),IF(AND(YEAR(EneDom1+35)=Año_Calendario,MONTH(EneDom1+35)=1),EneDom1+35,""))</f>
        <v>40573</v>
      </c>
      <c r="J30" s="15"/>
      <c r="K30" s="3"/>
      <c r="L30" s="3">
        <f>IF(DAY(FebDom1)=1,IF(AND(YEAR(FebDom1+22)=Año_Calendario,MONTH(FebDom1+22)=2),FebDom1+22,""),IF(AND(YEAR(FebDom1+29)=Año_Calendario,MONTH(FebDom1+29)=2),FebDom1+29,""))</f>
        <v>40602</v>
      </c>
      <c r="M30" s="3" t="str">
        <f>IF(DAY(FebDom1)=1,IF(AND(YEAR(FebDom1+23)=Año_Calendario,MONTH(FebDom1+23)=2),FebDom1+23,""),IF(AND(YEAR(FebDom1+30)=Año_Calendario,MONTH(FebDom1+30)=2),FebDom1+30,""))</f>
        <v/>
      </c>
      <c r="N30" s="3" t="str">
        <f>IF(DAY(FebDom1)=1,IF(AND(YEAR(FebDom1+24)=Año_Calendario,MONTH(FebDom1+24)=2),FebDom1+24,""),IF(AND(YEAR(FebDom1+31)=Año_Calendario,MONTH(FebDom1+31)=2),FebDom1+31,""))</f>
        <v/>
      </c>
      <c r="O30" s="3" t="str">
        <f>IF(DAY(FebDom1)=1,IF(AND(YEAR(FebDom1+25)=Año_Calendario,MONTH(FebDom1+25)=2),FebDom1+25,""),IF(AND(YEAR(FebDom1+32)=Año_Calendario,MONTH(FebDom1+32)=2),FebDom1+32,""))</f>
        <v/>
      </c>
      <c r="P30" s="3" t="str">
        <f>IF(DAY(FebDom1)=1,IF(AND(YEAR(FebDom1+26)=Año_Calendario,MONTH(FebDom1+26)=2),FebDom1+26,""),IF(AND(YEAR(FebDom1+33)=Año_Calendario,MONTH(FebDom1+33)=2),FebDom1+33,""))</f>
        <v/>
      </c>
      <c r="Q30" s="3" t="str">
        <f>IF(DAY(FebDom1)=1,IF(AND(YEAR(FebDom1+27)=Año_Calendario,MONTH(FebDom1+27)=2),FebDom1+27,""),IF(AND(YEAR(FebDom1+34)=Año_Calendario,MONTH(FebDom1+34)=2),FebDom1+34,""))</f>
        <v/>
      </c>
      <c r="R30" s="3" t="str">
        <f>IF(DAY(FebDom1)=1,IF(AND(YEAR(FebDom1+28)=Año_Calendario,MONTH(FebDom1+28)=2),FebDom1+28,""),IF(AND(YEAR(FebDom1+35)=Año_Calendario,MONTH(FebDom1+35)=2),FebDom1+35,""))</f>
        <v/>
      </c>
      <c r="S30" s="15"/>
      <c r="U30" s="3">
        <f>IF(DAY(MarDom1)=1,IF(AND(YEAR(MarDom1+22)=Año_Calendario,MONTH(MarDom1+22)=3),MarDom1+22,""),IF(AND(YEAR(MarDom1+29)=Año_Calendario,MONTH(MarDom1+29)=3),MarDom1+29,""))</f>
        <v>40630</v>
      </c>
      <c r="V30" s="3">
        <f>IF(DAY(MarDom1)=1,IF(AND(YEAR(MarDom1+23)=Año_Calendario,MONTH(MarDom1+23)=3),MarDom1+23,""),IF(AND(YEAR(MarDom1+30)=Año_Calendario,MONTH(MarDom1+30)=3),MarDom1+30,""))</f>
        <v>40631</v>
      </c>
      <c r="W30" s="3">
        <f>IF(DAY(MarDom1)=1,IF(AND(YEAR(MarDom1+24)=Año_Calendario,MONTH(MarDom1+24)=3),MarDom1+24,""),IF(AND(YEAR(MarDom1+31)=Año_Calendario,MONTH(MarDom1+31)=3),MarDom1+31,""))</f>
        <v>40632</v>
      </c>
      <c r="X30" s="3">
        <f>IF(DAY(MarDom1)=1,IF(AND(YEAR(MarDom1+25)=Año_Calendario,MONTH(MarDom1+25)=3),MarDom1+25,""),IF(AND(YEAR(MarDom1+32)=Año_Calendario,MONTH(MarDom1+32)=3),MarDom1+32,""))</f>
        <v>40633</v>
      </c>
      <c r="Y30" s="3" t="str">
        <f>IF(DAY(MarDom1)=1,IF(AND(YEAR(MarDom1+26)=Año_Calendario,MONTH(MarDom1+26)=3),MarDom1+26,""),IF(AND(YEAR(MarDom1+33)=Año_Calendario,MONTH(MarDom1+33)=3),MarDom1+33,""))</f>
        <v/>
      </c>
      <c r="Z30" s="3" t="str">
        <f>IF(DAY(MarDom1)=1,IF(AND(YEAR(MarDom1+27)=Año_Calendario,MONTH(MarDom1+27)=3),MarDom1+27,""),IF(AND(YEAR(MarDom1+34)=Año_Calendario,MONTH(MarDom1+34)=3),MarDom1+34,""))</f>
        <v/>
      </c>
      <c r="AA30" s="3" t="str">
        <f>IF(DAY(MarDom1)=1,IF(AND(YEAR(MarDom1+28)=Año_Calendario,MONTH(MarDom1+28)=3),MarDom1+28,""),IF(AND(YEAR(MarDom1+35)=Año_Calendario,MONTH(MarDom1+35)=3),MarDom1+35,""))</f>
        <v/>
      </c>
      <c r="AB30" s="15"/>
      <c r="AC30" s="3"/>
      <c r="AD30" s="3">
        <f>IF(DAY(AbrDom1)=1,IF(AND(YEAR(AbrDom1+22)=Año_Calendario,MONTH(AbrDom1+22)=4),AbrDom1+22,""),IF(AND(YEAR(AbrDom1+29)=Año_Calendario,MONTH(AbrDom1+29)=4),AbrDom1+29,""))</f>
        <v>40658</v>
      </c>
      <c r="AE30" s="3">
        <f>IF(DAY(AbrDom1)=1,IF(AND(YEAR(AbrDom1+23)=Año_Calendario,MONTH(AbrDom1+23)=4),AbrDom1+23,""),IF(AND(YEAR(AbrDom1+30)=Año_Calendario,MONTH(AbrDom1+30)=4),AbrDom1+30,""))</f>
        <v>40659</v>
      </c>
      <c r="AF30" s="3">
        <f>IF(DAY(AbrDom1)=1,IF(AND(YEAR(AbrDom1+24)=Año_Calendario,MONTH(AbrDom1+24)=4),AbrDom1+24,""),IF(AND(YEAR(AbrDom1+31)=Año_Calendario,MONTH(AbrDom1+31)=4),AbrDom1+31,""))</f>
        <v>40660</v>
      </c>
      <c r="AG30" s="3">
        <f>IF(DAY(AbrDom1)=1,IF(AND(YEAR(AbrDom1+25)=Año_Calendario,MONTH(AbrDom1+25)=4),AbrDom1+25,""),IF(AND(YEAR(AbrDom1+32)=Año_Calendario,MONTH(AbrDom1+32)=4),AbrDom1+32,""))</f>
        <v>40661</v>
      </c>
      <c r="AH30" s="3">
        <f>IF(DAY(AbrDom1)=1,IF(AND(YEAR(AbrDom1+26)=Año_Calendario,MONTH(AbrDom1+26)=4),AbrDom1+26,""),IF(AND(YEAR(AbrDom1+33)=Año_Calendario,MONTH(AbrDom1+33)=4),AbrDom1+33,""))</f>
        <v>40662</v>
      </c>
      <c r="AI30" s="3">
        <f>IF(DAY(AbrDom1)=1,IF(AND(YEAR(AbrDom1+27)=Año_Calendario,MONTH(AbrDom1+27)=4),AbrDom1+27,""),IF(AND(YEAR(AbrDom1+34)=Año_Calendario,MONTH(AbrDom1+34)=4),AbrDom1+34,""))</f>
        <v>40663</v>
      </c>
      <c r="AJ30" s="3" t="str">
        <f>IF(DAY(AbrDom1)=1,IF(AND(YEAR(AbrDom1+28)=Año_Calendario,MONTH(AbrDom1+28)=4),AbrDom1+28,""),IF(AND(YEAR(AbrDom1+35)=Año_Calendario,MONTH(AbrDom1+35)=4),AbrDom1+35,""))</f>
        <v/>
      </c>
    </row>
    <row r="31" spans="3:37">
      <c r="C31" s="3">
        <f>IF(DAY(EneDom1)=1,IF(AND(YEAR(EneDom1+29)=Año_Calendario,MONTH(EneDom1+29)=1),EneDom1+29,""),IF(AND(YEAR(EneDom1+36)=Año_Calendario,MONTH(EneDom1+36)=1),EneDom1+36,""))</f>
        <v>40574</v>
      </c>
      <c r="D31" s="3" t="str">
        <f>IF(DAY(EneDom1)=1,IF(AND(YEAR(EneDom1+30)=Año_Calendario,MONTH(EneDom1+30)=1),EneDom1+30,""),IF(AND(YEAR(EneDom1+37)=Año_Calendario,MONTH(EneDom1+37)=1),EneDom1+37,""))</f>
        <v/>
      </c>
      <c r="E31" s="3" t="str">
        <f>IF(DAY(EneDom1)=1,IF(AND(YEAR(EneDom1+31)=Año_Calendario,MONTH(EneDom1+31)=1),EneDom1+31,""),IF(AND(YEAR(EneDom1+38)=Año_Calendario,MONTH(EneDom1+38)=1),EneDom1+38,""))</f>
        <v/>
      </c>
      <c r="F31" s="3" t="str">
        <f>IF(DAY(EneDom1)=1,IF(AND(YEAR(EneDom1+32)=Año_Calendario,MONTH(EneDom1+32)=1),EneDom1+32,""),IF(AND(YEAR(EneDom1+39)=Año_Calendario,MONTH(EneDom1+39)=1),EneDom1+39,""))</f>
        <v/>
      </c>
      <c r="G31" s="3" t="str">
        <f>IF(DAY(EneDom1)=1,IF(AND(YEAR(EneDom1+33)=Año_Calendario,MONTH(EneDom1+33)=1),EneDom1+33,""),IF(AND(YEAR(EneDom1+40)=Año_Calendario,MONTH(EneDom1+40)=1),EneDom1+40,""))</f>
        <v/>
      </c>
      <c r="H31" s="3" t="str">
        <f>IF(DAY(EneDom1)=1,IF(AND(YEAR(EneDom1+34)=Año_Calendario,MONTH(EneDom1+34)=1),EneDom1+34,""),IF(AND(YEAR(EneDom1+41)=Año_Calendario,MONTH(EneDom1+41)=1),EneDom1+41,""))</f>
        <v/>
      </c>
      <c r="I31" s="3" t="str">
        <f>IF(DAY(EneDom1)=1,IF(AND(YEAR(EneDom1+35)=Año_Calendario,MONTH(EneDom1+35)=1),EneDom1+35,""),IF(AND(YEAR(EneDom1+42)=Año_Calendario,MONTH(EneDom1+42)=1),EneDom1+42,""))</f>
        <v/>
      </c>
      <c r="J31" s="15"/>
      <c r="K31" s="3"/>
      <c r="L31" s="3" t="str">
        <f>IF(DAY(FebDom1)=1,IF(AND(YEAR(FebDom1+29)=Año_Calendario,MONTH(FebDom1+29)=2),FebDom1+29,""),IF(AND(YEAR(FebDom1+36)=Año_Calendario,MONTH(FebDom1+36)=2),FebDom1+36,""))</f>
        <v/>
      </c>
      <c r="M31" s="3" t="str">
        <f>IF(DAY(FebDom1)=1,IF(AND(YEAR(FebDom1+30)=Año_Calendario,MONTH(FebDom1+30)=2),FebDom1+30,""),IF(AND(YEAR(FebDom1+37)=Año_Calendario,MONTH(FebDom1+37)=2),FebDom1+37,""))</f>
        <v/>
      </c>
      <c r="N31" s="3" t="str">
        <f>IF(DAY(FebDom1)=1,IF(AND(YEAR(FebDom1+31)=Año_Calendario,MONTH(FebDom1+31)=2),FebDom1+31,""),IF(AND(YEAR(FebDom1+38)=Año_Calendario,MONTH(FebDom1+38)=2),FebDom1+38,""))</f>
        <v/>
      </c>
      <c r="O31" s="3" t="str">
        <f>IF(DAY(FebDom1)=1,IF(AND(YEAR(FebDom1+32)=Año_Calendario,MONTH(FebDom1+32)=2),FebDom1+32,""),IF(AND(YEAR(FebDom1+39)=Año_Calendario,MONTH(FebDom1+39)=2),FebDom1+39,""))</f>
        <v/>
      </c>
      <c r="P31" s="3" t="str">
        <f>IF(DAY(FebDom1)=1,IF(AND(YEAR(FebDom1+33)=Año_Calendario,MONTH(FebDom1+33)=2),FebDom1+33,""),IF(AND(YEAR(FebDom1+40)=Año_Calendario,MONTH(FebDom1+40)=2),FebDom1+40,""))</f>
        <v/>
      </c>
      <c r="Q31" s="3" t="str">
        <f>IF(DAY(FebDom1)=1,IF(AND(YEAR(FebDom1+34)=Año_Calendario,MONTH(FebDom1+34)=2),FebDom1+34,""),IF(AND(YEAR(FebDom1+41)=Año_Calendario,MONTH(FebDom1+41)=2),FebDom1+41,""))</f>
        <v/>
      </c>
      <c r="R31" s="3" t="str">
        <f>IF(DAY(FebDom1)=1,IF(AND(YEAR(FebDom1+35)=Año_Calendario,MONTH(FebDom1+35)=2),FebDom1+35,""),IF(AND(YEAR(FebDom1+42)=Año_Calendario,MONTH(FebDom1+42)=2),FebDom1+42,""))</f>
        <v/>
      </c>
      <c r="S31" s="15"/>
      <c r="U31" s="3" t="str">
        <f>IF(DAY(MarDom1)=1,IF(AND(YEAR(MarDom1+29)=Año_Calendario,MONTH(MarDom1+29)=3),MarDom1+29,""),IF(AND(YEAR(MarDom1+36)=Año_Calendario,MONTH(MarDom1+36)=3),MarDom1+36,""))</f>
        <v/>
      </c>
      <c r="V31" s="3" t="str">
        <f>IF(DAY(MarDom1)=1,IF(AND(YEAR(MarDom1+30)=Año_Calendario,MONTH(MarDom1+30)=3),MarDom1+30,""),IF(AND(YEAR(MarDom1+37)=Año_Calendario,MONTH(MarDom1+37)=3),MarDom1+37,""))</f>
        <v/>
      </c>
      <c r="W31" s="3" t="str">
        <f>IF(DAY(MarDom1)=1,IF(AND(YEAR(MarDom1+31)=Año_Calendario,MONTH(MarDom1+31)=3),MarDom1+31,""),IF(AND(YEAR(MarDom1+38)=Año_Calendario,MONTH(MarDom1+38)=3),MarDom1+38,""))</f>
        <v/>
      </c>
      <c r="X31" s="3" t="str">
        <f>IF(DAY(MarDom1)=1,IF(AND(YEAR(MarDom1+32)=Año_Calendario,MONTH(MarDom1+32)=3),MarDom1+32,""),IF(AND(YEAR(MarDom1+39)=Año_Calendario,MONTH(MarDom1+39)=3),MarDom1+39,""))</f>
        <v/>
      </c>
      <c r="Y31" s="3" t="str">
        <f>IF(DAY(MarDom1)=1,IF(AND(YEAR(MarDom1+33)=Año_Calendario,MONTH(MarDom1+33)=3),MarDom1+33,""),IF(AND(YEAR(MarDom1+40)=Año_Calendario,MONTH(MarDom1+40)=3),MarDom1+40,""))</f>
        <v/>
      </c>
      <c r="Z31" s="3" t="str">
        <f>IF(DAY(MarDom1)=1,IF(AND(YEAR(MarDom1+34)=Año_Calendario,MONTH(MarDom1+34)=3),MarDom1+34,""),IF(AND(YEAR(MarDom1+41)=Año_Calendario,MONTH(MarDom1+41)=3),MarDom1+41,""))</f>
        <v/>
      </c>
      <c r="AA31" s="3" t="str">
        <f>IF(DAY(MarDom1)=1,IF(AND(YEAR(MarDom1+35)=Año_Calendario,MONTH(MarDom1+35)=3),MarDom1+35,""),IF(AND(YEAR(MarDom1+42)=Año_Calendario,MONTH(MarDom1+42)=3),MarDom1+42,""))</f>
        <v/>
      </c>
      <c r="AB31" s="15"/>
      <c r="AC31" s="3"/>
      <c r="AD31" s="3" t="str">
        <f>IF(DAY(AbrDom1)=1,IF(AND(YEAR(AbrDom1+29)=Año_Calendario,MONTH(AbrDom1+29)=4),AbrDom1+29,""),IF(AND(YEAR(AbrDom1+36)=Año_Calendario,MONTH(AbrDom1+36)=4),AbrDom1+36,""))</f>
        <v/>
      </c>
      <c r="AE31" s="3" t="str">
        <f>IF(DAY(AbrDom1)=1,IF(AND(YEAR(AbrDom1+30)=Año_Calendario,MONTH(AbrDom1+30)=4),AbrDom1+30,""),IF(AND(YEAR(AbrDom1+37)=Año_Calendario,MONTH(AbrDom1+37)=4),AbrDom1+37,""))</f>
        <v/>
      </c>
      <c r="AF31" s="3" t="str">
        <f>IF(DAY(AbrDom1)=1,IF(AND(YEAR(AbrDom1+31)=Año_Calendario,MONTH(AbrDom1+31)=4),AbrDom1+31,""),IF(AND(YEAR(AbrDom1+38)=Año_Calendario,MONTH(AbrDom1+38)=4),AbrDom1+38,""))</f>
        <v/>
      </c>
      <c r="AG31" s="3" t="str">
        <f>IF(DAY(AbrDom1)=1,IF(AND(YEAR(AbrDom1+32)=Año_Calendario,MONTH(AbrDom1+32)=4),AbrDom1+32,""),IF(AND(YEAR(AbrDom1+39)=Año_Calendario,MONTH(AbrDom1+39)=4),AbrDom1+39,""))</f>
        <v/>
      </c>
      <c r="AH31" s="3" t="str">
        <f>IF(DAY(AbrDom1)=1,IF(AND(YEAR(AbrDom1+33)=Año_Calendario,MONTH(AbrDom1+33)=4),AbrDom1+33,""),IF(AND(YEAR(AbrDom1+40)=Año_Calendario,MONTH(AbrDom1+40)=4),AbrDom1+40,""))</f>
        <v/>
      </c>
      <c r="AI31" s="3" t="str">
        <f>IF(DAY(AbrDom1)=1,IF(AND(YEAR(AbrDom1+34)=Año_Calendario,MONTH(AbrDom1+34)=4),AbrDom1+34,""),IF(AND(YEAR(AbrDom1+41)=Año_Calendario,MONTH(AbrDom1+41)=4),AbrDom1+41,""))</f>
        <v/>
      </c>
      <c r="AJ31" s="3" t="str">
        <f>IF(DAY(AbrDom1)=1,IF(AND(YEAR(AbrDom1+35)=Año_Calendario,MONTH(AbrDom1+35)=4),AbrDom1+35,""),IF(AND(YEAR(AbrDom1+42)=Año_Calendario,MONTH(AbrDom1+42)=4),AbrDom1+42,""))</f>
        <v/>
      </c>
    </row>
    <row r="32" spans="3:37">
      <c r="C32" s="3"/>
      <c r="D32" s="3"/>
      <c r="E32" s="3"/>
      <c r="F32" s="3"/>
      <c r="G32" s="3"/>
      <c r="H32" s="3"/>
      <c r="I32" s="3"/>
      <c r="J32" s="15"/>
      <c r="K32" s="3"/>
      <c r="L32" s="3"/>
      <c r="M32" s="3"/>
      <c r="N32" s="3"/>
      <c r="O32" s="3"/>
      <c r="P32" s="3"/>
      <c r="Q32" s="3"/>
      <c r="R32" s="3"/>
      <c r="S32" s="15"/>
      <c r="AB32" s="17"/>
    </row>
    <row r="33" spans="3:36" ht="15.75">
      <c r="C33" s="39">
        <f>DATE(Año_Calendario,5,1)</f>
        <v>40664</v>
      </c>
      <c r="D33" s="39"/>
      <c r="E33" s="39"/>
      <c r="F33" s="39"/>
      <c r="G33" s="39"/>
      <c r="H33" s="39"/>
      <c r="I33" s="39"/>
      <c r="J33" s="13"/>
      <c r="K33" s="3"/>
      <c r="L33" s="39">
        <f>DATE(Año_Calendario,6,1)</f>
        <v>40695</v>
      </c>
      <c r="M33" s="39"/>
      <c r="N33" s="39"/>
      <c r="O33" s="39"/>
      <c r="P33" s="39"/>
      <c r="Q33" s="39"/>
      <c r="R33" s="39"/>
      <c r="S33" s="13"/>
      <c r="U33" s="39">
        <f>DATE(Año_Calendario,7,1)</f>
        <v>40725</v>
      </c>
      <c r="V33" s="39"/>
      <c r="W33" s="39"/>
      <c r="X33" s="39"/>
      <c r="Y33" s="39"/>
      <c r="Z33" s="39"/>
      <c r="AA33" s="39"/>
      <c r="AB33" s="13"/>
      <c r="AC33" s="3"/>
      <c r="AD33" s="39">
        <f>DATE(Año_Calendario,8,1)</f>
        <v>40756</v>
      </c>
      <c r="AE33" s="39"/>
      <c r="AF33" s="39"/>
      <c r="AG33" s="39"/>
      <c r="AH33" s="39"/>
      <c r="AI33" s="39"/>
      <c r="AJ33" s="39"/>
    </row>
    <row r="34" spans="3:36" ht="15">
      <c r="C34" s="12" t="s">
        <v>7</v>
      </c>
      <c r="D34" s="12" t="s">
        <v>1</v>
      </c>
      <c r="E34" s="12" t="s">
        <v>8</v>
      </c>
      <c r="F34" s="12" t="s">
        <v>10</v>
      </c>
      <c r="G34" s="12" t="s">
        <v>9</v>
      </c>
      <c r="H34" s="12" t="s">
        <v>0</v>
      </c>
      <c r="I34" s="12" t="s">
        <v>11</v>
      </c>
      <c r="J34" s="14"/>
      <c r="K34" s="4"/>
      <c r="L34" s="12" t="s">
        <v>7</v>
      </c>
      <c r="M34" s="12" t="s">
        <v>1</v>
      </c>
      <c r="N34" s="12" t="s">
        <v>8</v>
      </c>
      <c r="O34" s="12" t="s">
        <v>10</v>
      </c>
      <c r="P34" s="12" t="s">
        <v>9</v>
      </c>
      <c r="Q34" s="12" t="s">
        <v>0</v>
      </c>
      <c r="R34" s="12" t="s">
        <v>11</v>
      </c>
      <c r="S34" s="14"/>
      <c r="U34" s="12" t="s">
        <v>7</v>
      </c>
      <c r="V34" s="12" t="s">
        <v>1</v>
      </c>
      <c r="W34" s="12" t="s">
        <v>8</v>
      </c>
      <c r="X34" s="12" t="s">
        <v>10</v>
      </c>
      <c r="Y34" s="12" t="s">
        <v>9</v>
      </c>
      <c r="Z34" s="12" t="s">
        <v>0</v>
      </c>
      <c r="AA34" s="12" t="s">
        <v>11</v>
      </c>
      <c r="AB34" s="14"/>
      <c r="AC34" s="3"/>
      <c r="AD34" s="12" t="s">
        <v>7</v>
      </c>
      <c r="AE34" s="12" t="s">
        <v>1</v>
      </c>
      <c r="AF34" s="12" t="s">
        <v>8</v>
      </c>
      <c r="AG34" s="12" t="s">
        <v>10</v>
      </c>
      <c r="AH34" s="12" t="s">
        <v>9</v>
      </c>
      <c r="AI34" s="12" t="s">
        <v>0</v>
      </c>
      <c r="AJ34" s="12" t="s">
        <v>11</v>
      </c>
    </row>
    <row r="35" spans="3:36" ht="15.75">
      <c r="C35" s="3" t="str">
        <f>IF(DAY(MayDom1)=1,"",IF(AND(YEAR(MayDom1+1)=Año_Calendario,MONTH(MayDom1+1)=5),MayDom1+1,""))</f>
        <v/>
      </c>
      <c r="D35" s="3" t="str">
        <f>IF(DAY(MayDom1)=1,"",IF(AND(YEAR(MayDom1+2)=Año_Calendario,MONTH(MayDom1+2)=5),MayDom1+2,""))</f>
        <v/>
      </c>
      <c r="E35" s="3" t="str">
        <f>IF(DAY(MayDom1)=1,"",IF(AND(YEAR(MayDom1+3)=Año_Calendario,MONTH(MayDom1+3)=5),MayDom1+3,""))</f>
        <v/>
      </c>
      <c r="F35" s="3" t="str">
        <f>IF(DAY(MayDom1)=1,"",IF(AND(YEAR(MayDom1+4)=Año_Calendario,MONTH(MayDom1+4)=5),MayDom1+4,""))</f>
        <v/>
      </c>
      <c r="G35" s="3" t="str">
        <f>IF(DAY(MayDom1)=1,"",IF(AND(YEAR(MayDom1+5)=Año_Calendario,MONTH(MayDom1+5)=5),MayDom1+5,""))</f>
        <v/>
      </c>
      <c r="H35" s="3" t="str">
        <f>IF(DAY(MayDom1)=1,"",IF(AND(YEAR(MayDom1+6)=Año_Calendario,MONTH(MayDom1+6)=5),MayDom1+6,""))</f>
        <v/>
      </c>
      <c r="I35" s="3">
        <f>IF(DAY(MayDom1)=1,IF(AND(YEAR(MayDom1)=Año_Calendario,MONTH(MayDom1)=5),MayDom1,""),IF(AND(YEAR(MayDom1+7)=Año_Calendario,MONTH(MayDom1+7)=5),MayDom1+7,""))</f>
        <v>40664</v>
      </c>
      <c r="J35" s="15"/>
      <c r="K35" s="1"/>
      <c r="L35" s="3" t="str">
        <f>IF(DAY(JunDom1)=1,"",IF(AND(YEAR(JunDom1+1)=Año_Calendario,MONTH(JunDom1+1)=6),JunDom1+1,""))</f>
        <v/>
      </c>
      <c r="M35" s="3" t="str">
        <f>IF(DAY(JunDom1)=1,"",IF(AND(YEAR(JunDom1+2)=Año_Calendario,MONTH(JunDom1+2)=6),JunDom1+2,""))</f>
        <v/>
      </c>
      <c r="N35" s="3">
        <f>IF(DAY(JunDom1)=1,"",IF(AND(YEAR(JunDom1+3)=Año_Calendario,MONTH(JunDom1+3)=6),JunDom1+3,""))</f>
        <v>40695</v>
      </c>
      <c r="O35" s="3">
        <f>IF(DAY(JunDom1)=1,"",IF(AND(YEAR(JunDom1+4)=Año_Calendario,MONTH(JunDom1+4)=6),JunDom1+4,""))</f>
        <v>40696</v>
      </c>
      <c r="P35" s="3">
        <f>IF(DAY(JunDom1)=1,"",IF(AND(YEAR(JunDom1+5)=Año_Calendario,MONTH(JunDom1+5)=6),JunDom1+5,""))</f>
        <v>40697</v>
      </c>
      <c r="Q35" s="3">
        <f>IF(DAY(JunDom1)=1,"",IF(AND(YEAR(JunDom1+6)=Año_Calendario,MONTH(JunDom1+6)=6),JunDom1+6,""))</f>
        <v>40698</v>
      </c>
      <c r="R35" s="3">
        <f>IF(DAY(JunDom1)=1,IF(AND(YEAR(JunDom1)=Año_Calendario,MONTH(JunDom1)=6),JunDom1,""),IF(AND(YEAR(JunDom1+7)=Año_Calendario,MONTH(JunDom1+7)=6),JunDom1+7,""))</f>
        <v>40699</v>
      </c>
      <c r="S35" s="15"/>
      <c r="U35" s="3" t="str">
        <f>IF(DAY(JulDom1)=1,"",IF(AND(YEAR(JulDom1+1)=Año_Calendario,MONTH(JulDom1+1)=7),JulDom1+1,""))</f>
        <v/>
      </c>
      <c r="V35" s="3" t="str">
        <f>IF(DAY(JulDom1)=1,"",IF(AND(YEAR(JulDom1+2)=Año_Calendario,MONTH(JulDom1+2)=7),JulDom1+2,""))</f>
        <v/>
      </c>
      <c r="W35" s="3" t="str">
        <f>IF(DAY(JulDom1)=1,"",IF(AND(YEAR(JulDom1+3)=Año_Calendario,MONTH(JulDom1+3)=7),JulDom1+3,""))</f>
        <v/>
      </c>
      <c r="X35" s="3" t="str">
        <f>IF(DAY(JulDom1)=1,"",IF(AND(YEAR(JulDom1+4)=Año_Calendario,MONTH(JulDom1+4)=7),JulDom1+4,""))</f>
        <v/>
      </c>
      <c r="Y35" s="3">
        <f>IF(DAY(JulDom1)=1,"",IF(AND(YEAR(JulDom1+5)=Año_Calendario,MONTH(JulDom1+5)=7),JulDom1+5,""))</f>
        <v>40725</v>
      </c>
      <c r="Z35" s="3">
        <f>IF(DAY(JulDom1)=1,"",IF(AND(YEAR(JulDom1+6)=Año_Calendario,MONTH(JulDom1+6)=7),JulDom1+6,""))</f>
        <v>40726</v>
      </c>
      <c r="AA35" s="3">
        <f>IF(DAY(JulDom1)=1,IF(AND(YEAR(JulDom1)=Año_Calendario,MONTH(JulDom1)=7),JulDom1,""),IF(AND(YEAR(JulDom1+7)=Año_Calendario,MONTH(JulDom1+7)=7),JulDom1+7,""))</f>
        <v>40727</v>
      </c>
      <c r="AB35" s="15"/>
      <c r="AC35" s="6"/>
      <c r="AD35" s="3">
        <f>IF(DAY(AgoDom1)=1,"",IF(AND(YEAR(AgoDom1+1)=Año_Calendario,MONTH(AgoDom1+1)=8),AgoDom1+1,""))</f>
        <v>40756</v>
      </c>
      <c r="AE35" s="3">
        <f>IF(DAY(AgoDom1)=1,"",IF(AND(YEAR(AgoDom1+2)=Año_Calendario,MONTH(AgoDom1+2)=8),AgoDom1+2,""))</f>
        <v>40757</v>
      </c>
      <c r="AF35" s="3">
        <f>IF(DAY(AgoDom1)=1,"",IF(AND(YEAR(AgoDom1+3)=Año_Calendario,MONTH(AgoDom1+3)=8),AgoDom1+3,""))</f>
        <v>40758</v>
      </c>
      <c r="AG35" s="3">
        <f>IF(DAY(AgoDom1)=1,"",IF(AND(YEAR(AgoDom1+4)=Año_Calendario,MONTH(AgoDom1+4)=8),AgoDom1+4,""))</f>
        <v>40759</v>
      </c>
      <c r="AH35" s="3">
        <f>IF(DAY(AgoDom1)=1,"",IF(AND(YEAR(AgoDom1+5)=Año_Calendario,MONTH(AgoDom1+5)=8),AgoDom1+5,""))</f>
        <v>40760</v>
      </c>
      <c r="AI35" s="3">
        <f>IF(DAY(AgoDom1)=1,"",IF(AND(YEAR(AgoDom1+6)=Año_Calendario,MONTH(AgoDom1+6)=8),AgoDom1+6,""))</f>
        <v>40761</v>
      </c>
      <c r="AJ35" s="3">
        <f>IF(DAY(AgoDom1)=1,IF(AND(YEAR(AgoDom1)=Año_Calendario,MONTH(AgoDom1)=8),AgoDom1,""),IF(AND(YEAR(AgoDom1+7)=Año_Calendario,MONTH(AgoDom1+7)=8),AgoDom1+7,""))</f>
        <v>40762</v>
      </c>
    </row>
    <row r="36" spans="3:36">
      <c r="C36" s="3">
        <f>IF(DAY(MayDom1)=1,IF(AND(YEAR(MayDom1+1)=Año_Calendario,MONTH(MayDom1+1)=5),MayDom1+1,""),IF(AND(YEAR(MayDom1+8)=Año_Calendario,MONTH(MayDom1+8)=5),MayDom1+8,""))</f>
        <v>40665</v>
      </c>
      <c r="D36" s="3">
        <f>IF(DAY(MayDom1)=1,IF(AND(YEAR(MayDom1+2)=Año_Calendario,MONTH(MayDom1+2)=5),MayDom1+2,""),IF(AND(YEAR(MayDom1+9)=Año_Calendario,MONTH(MayDom1+9)=5),MayDom1+9,""))</f>
        <v>40666</v>
      </c>
      <c r="E36" s="3">
        <f>IF(DAY(MayDom1)=1,IF(AND(YEAR(MayDom1+3)=Año_Calendario,MONTH(MayDom1+3)=5),MayDom1+3,""),IF(AND(YEAR(MayDom1+10)=Año_Calendario,MONTH(MayDom1+10)=5),MayDom1+10,""))</f>
        <v>40667</v>
      </c>
      <c r="F36" s="3">
        <f>IF(DAY(MayDom1)=1,IF(AND(YEAR(MayDom1+4)=Año_Calendario,MONTH(MayDom1+4)=5),MayDom1+4,""),IF(AND(YEAR(MayDom1+11)=Año_Calendario,MONTH(MayDom1+11)=5),MayDom1+11,""))</f>
        <v>40668</v>
      </c>
      <c r="G36" s="3">
        <f>IF(DAY(MayDom1)=1,IF(AND(YEAR(MayDom1+5)=Año_Calendario,MONTH(MayDom1+5)=5),MayDom1+5,""),IF(AND(YEAR(MayDom1+12)=Año_Calendario,MONTH(MayDom1+12)=5),MayDom1+12,""))</f>
        <v>40669</v>
      </c>
      <c r="H36" s="3">
        <f>IF(DAY(MayDom1)=1,IF(AND(YEAR(MayDom1+6)=Año_Calendario,MONTH(MayDom1+6)=5),MayDom1+6,""),IF(AND(YEAR(MayDom1+13)=Año_Calendario,MONTH(MayDom1+13)=5),MayDom1+13,""))</f>
        <v>40670</v>
      </c>
      <c r="I36" s="3">
        <f>IF(DAY(MayDom1)=1,IF(AND(YEAR(MayDom1+7)=Año_Calendario,MONTH(MayDom1+7)=5),MayDom1+7,""),IF(AND(YEAR(MayDom1+14)=Año_Calendario,MONTH(MayDom1+14)=5),MayDom1+14,""))</f>
        <v>40671</v>
      </c>
      <c r="J36" s="15"/>
      <c r="K36" s="2"/>
      <c r="L36" s="3">
        <f>IF(DAY(JunDom1)=1,IF(AND(YEAR(JunDom1+1)=Año_Calendario,MONTH(JunDom1+1)=6),JunDom1+1,""),IF(AND(YEAR(JunDom1+8)=Año_Calendario,MONTH(JunDom1+8)=6),JunDom1+8,""))</f>
        <v>40700</v>
      </c>
      <c r="M36" s="3">
        <f>IF(DAY(JunDom1)=1,IF(AND(YEAR(JunDom1+2)=Año_Calendario,MONTH(JunDom1+2)=6),JunDom1+2,""),IF(AND(YEAR(JunDom1+9)=Año_Calendario,MONTH(JunDom1+9)=6),JunDom1+9,""))</f>
        <v>40701</v>
      </c>
      <c r="N36" s="3">
        <f>IF(DAY(JunDom1)=1,IF(AND(YEAR(JunDom1+3)=Año_Calendario,MONTH(JunDom1+3)=6),JunDom1+3,""),IF(AND(YEAR(JunDom1+10)=Año_Calendario,MONTH(JunDom1+10)=6),JunDom1+10,""))</f>
        <v>40702</v>
      </c>
      <c r="O36" s="3">
        <f>IF(DAY(JunDom1)=1,IF(AND(YEAR(JunDom1+4)=Año_Calendario,MONTH(JunDom1+4)=6),JunDom1+4,""),IF(AND(YEAR(JunDom1+11)=Año_Calendario,MONTH(JunDom1+11)=6),JunDom1+11,""))</f>
        <v>40703</v>
      </c>
      <c r="P36" s="3">
        <f>IF(DAY(JunDom1)=1,IF(AND(YEAR(JunDom1+5)=Año_Calendario,MONTH(JunDom1+5)=6),JunDom1+5,""),IF(AND(YEAR(JunDom1+12)=Año_Calendario,MONTH(JunDom1+12)=6),JunDom1+12,""))</f>
        <v>40704</v>
      </c>
      <c r="Q36" s="3">
        <f>IF(DAY(JunDom1)=1,IF(AND(YEAR(JunDom1+6)=Año_Calendario,MONTH(JunDom1+6)=6),JunDom1+6,""),IF(AND(YEAR(JunDom1+13)=Año_Calendario,MONTH(JunDom1+13)=6),JunDom1+13,""))</f>
        <v>40705</v>
      </c>
      <c r="R36" s="3">
        <f>IF(DAY(JunDom1)=1,IF(AND(YEAR(JunDom1+7)=Año_Calendario,MONTH(JunDom1+7)=6),JunDom1+7,""),IF(AND(YEAR(JunDom1+14)=Año_Calendario,MONTH(JunDom1+14)=6),JunDom1+14,""))</f>
        <v>40706</v>
      </c>
      <c r="S36" s="15"/>
      <c r="U36" s="3">
        <f>IF(DAY(JulDom1)=1,IF(AND(YEAR(JulDom1+1)=Año_Calendario,MONTH(JulDom1+1)=7),JulDom1+1,""),IF(AND(YEAR(JulDom1+8)=Año_Calendario,MONTH(JulDom1+8)=7),JulDom1+8,""))</f>
        <v>40728</v>
      </c>
      <c r="V36" s="3">
        <f>IF(DAY(JulDom1)=1,IF(AND(YEAR(JulDom1+2)=Año_Calendario,MONTH(JulDom1+2)=7),JulDom1+2,""),IF(AND(YEAR(JulDom1+9)=Año_Calendario,MONTH(JulDom1+9)=7),JulDom1+9,""))</f>
        <v>40729</v>
      </c>
      <c r="W36" s="3">
        <f>IF(DAY(JulDom1)=1,IF(AND(YEAR(JulDom1+3)=Año_Calendario,MONTH(JulDom1+3)=7),JulDom1+3,""),IF(AND(YEAR(JulDom1+10)=Año_Calendario,MONTH(JulDom1+10)=7),JulDom1+10,""))</f>
        <v>40730</v>
      </c>
      <c r="X36" s="3">
        <f>IF(DAY(JulDom1)=1,IF(AND(YEAR(JulDom1+4)=Año_Calendario,MONTH(JulDom1+4)=7),JulDom1+4,""),IF(AND(YEAR(JulDom1+11)=Año_Calendario,MONTH(JulDom1+11)=7),JulDom1+11,""))</f>
        <v>40731</v>
      </c>
      <c r="Y36" s="3">
        <f>IF(DAY(JulDom1)=1,IF(AND(YEAR(JulDom1+5)=Año_Calendario,MONTH(JulDom1+5)=7),JulDom1+5,""),IF(AND(YEAR(JulDom1+12)=Año_Calendario,MONTH(JulDom1+12)=7),JulDom1+12,""))</f>
        <v>40732</v>
      </c>
      <c r="Z36" s="3">
        <f>IF(DAY(JulDom1)=1,IF(AND(YEAR(JulDom1+6)=Año_Calendario,MONTH(JulDom1+6)=7),JulDom1+6,""),IF(AND(YEAR(JulDom1+13)=Año_Calendario,MONTH(JulDom1+13)=7),JulDom1+13,""))</f>
        <v>40733</v>
      </c>
      <c r="AA36" s="3">
        <f>IF(DAY(JulDom1)=1,IF(AND(YEAR(JulDom1+7)=Año_Calendario,MONTH(JulDom1+7)=7),JulDom1+7,""),IF(AND(YEAR(JulDom1+14)=Año_Calendario,MONTH(JulDom1+14)=7),JulDom1+14,""))</f>
        <v>40734</v>
      </c>
      <c r="AB36" s="15"/>
      <c r="AC36" s="5"/>
      <c r="AD36" s="3">
        <f>IF(DAY(AgoDom1)=1,IF(AND(YEAR(AgoDom1+1)=Año_Calendario,MONTH(AgoDom1+1)=8),AgoDom1+1,""),IF(AND(YEAR(AgoDom1+8)=Año_Calendario,MONTH(AgoDom1+8)=8),AgoDom1+8,""))</f>
        <v>40763</v>
      </c>
      <c r="AE36" s="3">
        <f>IF(DAY(AgoDom1)=1,IF(AND(YEAR(AgoDom1+2)=Año_Calendario,MONTH(AgoDom1+2)=8),AgoDom1+2,""),IF(AND(YEAR(AgoDom1+9)=Año_Calendario,MONTH(AgoDom1+9)=8),AgoDom1+9,""))</f>
        <v>40764</v>
      </c>
      <c r="AF36" s="3">
        <f>IF(DAY(AgoDom1)=1,IF(AND(YEAR(AgoDom1+3)=Año_Calendario,MONTH(AgoDom1+3)=8),AgoDom1+3,""),IF(AND(YEAR(AgoDom1+10)=Año_Calendario,MONTH(AgoDom1+10)=8),AgoDom1+10,""))</f>
        <v>40765</v>
      </c>
      <c r="AG36" s="3">
        <f>IF(DAY(AgoDom1)=1,IF(AND(YEAR(AgoDom1+4)=Año_Calendario,MONTH(AgoDom1+4)=8),AgoDom1+4,""),IF(AND(YEAR(AgoDom1+11)=Año_Calendario,MONTH(AgoDom1+11)=8),AgoDom1+11,""))</f>
        <v>40766</v>
      </c>
      <c r="AH36" s="3">
        <f>IF(DAY(AgoDom1)=1,IF(AND(YEAR(AgoDom1+5)=Año_Calendario,MONTH(AgoDom1+5)=8),AgoDom1+5,""),IF(AND(YEAR(AgoDom1+12)=Año_Calendario,MONTH(AgoDom1+12)=8),AgoDom1+12,""))</f>
        <v>40767</v>
      </c>
      <c r="AI36" s="3">
        <f>IF(DAY(AgoDom1)=1,IF(AND(YEAR(AgoDom1+6)=Año_Calendario,MONTH(AgoDom1+6)=8),AgoDom1+6,""),IF(AND(YEAR(AgoDom1+13)=Año_Calendario,MONTH(AgoDom1+13)=8),AgoDom1+13,""))</f>
        <v>40768</v>
      </c>
      <c r="AJ36" s="3">
        <f>IF(DAY(AgoDom1)=1,IF(AND(YEAR(AgoDom1+7)=Año_Calendario,MONTH(AgoDom1+7)=8),AgoDom1+7,""),IF(AND(YEAR(AgoDom1+14)=Año_Calendario,MONTH(AgoDom1+14)=8),AgoDom1+14,""))</f>
        <v>40769</v>
      </c>
    </row>
    <row r="37" spans="3:36">
      <c r="C37" s="3">
        <f>IF(DAY(MayDom1)=1,IF(AND(YEAR(MayDom1+8)=Año_Calendario,MONTH(MayDom1+8)=5),MayDom1+8,""),IF(AND(YEAR(MayDom1+15)=Año_Calendario,MONTH(MayDom1+15)=5),MayDom1+15,""))</f>
        <v>40672</v>
      </c>
      <c r="D37" s="3">
        <f>IF(DAY(MayDom1)=1,IF(AND(YEAR(MayDom1+9)=Año_Calendario,MONTH(MayDom1+9)=5),MayDom1+9,""),IF(AND(YEAR(MayDom1+16)=Año_Calendario,MONTH(MayDom1+16)=5),MayDom1+16,""))</f>
        <v>40673</v>
      </c>
      <c r="E37" s="3">
        <f>IF(DAY(MayDom1)=1,IF(AND(YEAR(MayDom1+10)=Año_Calendario,MONTH(MayDom1+10)=5),MayDom1+10,""),IF(AND(YEAR(MayDom1+17)=Año_Calendario,MONTH(MayDom1+17)=5),MayDom1+17,""))</f>
        <v>40674</v>
      </c>
      <c r="F37" s="3">
        <f>IF(DAY(MayDom1)=1,IF(AND(YEAR(MayDom1+11)=Año_Calendario,MONTH(MayDom1+11)=5),MayDom1+11,""),IF(AND(YEAR(MayDom1+18)=Año_Calendario,MONTH(MayDom1+18)=5),MayDom1+18,""))</f>
        <v>40675</v>
      </c>
      <c r="G37" s="3">
        <f>IF(DAY(MayDom1)=1,IF(AND(YEAR(MayDom1+12)=Año_Calendario,MONTH(MayDom1+12)=5),MayDom1+12,""),IF(AND(YEAR(MayDom1+19)=Año_Calendario,MONTH(MayDom1+19)=5),MayDom1+19,""))</f>
        <v>40676</v>
      </c>
      <c r="H37" s="3">
        <f>IF(DAY(MayDom1)=1,IF(AND(YEAR(MayDom1+13)=Año_Calendario,MONTH(MayDom1+13)=5),MayDom1+13,""),IF(AND(YEAR(MayDom1+20)=Año_Calendario,MONTH(MayDom1+20)=5),MayDom1+20,""))</f>
        <v>40677</v>
      </c>
      <c r="I37" s="3">
        <f>IF(DAY(MayDom1)=1,IF(AND(YEAR(MayDom1+14)=Año_Calendario,MONTH(MayDom1+14)=5),MayDom1+14,""),IF(AND(YEAR(MayDom1+21)=Año_Calendario,MONTH(MayDom1+21)=5),MayDom1+21,""))</f>
        <v>40678</v>
      </c>
      <c r="J37" s="15"/>
      <c r="K37" s="3"/>
      <c r="L37" s="3">
        <f>IF(DAY(JunDom1)=1,IF(AND(YEAR(JunDom1+8)=Año_Calendario,MONTH(JunDom1+8)=6),JunDom1+8,""),IF(AND(YEAR(JunDom1+15)=Año_Calendario,MONTH(JunDom1+15)=6),JunDom1+15,""))</f>
        <v>40707</v>
      </c>
      <c r="M37" s="3">
        <f>IF(DAY(JunDom1)=1,IF(AND(YEAR(JunDom1+9)=Año_Calendario,MONTH(JunDom1+9)=6),JunDom1+9,""),IF(AND(YEAR(JunDom1+16)=Año_Calendario,MONTH(JunDom1+16)=6),JunDom1+16,""))</f>
        <v>40708</v>
      </c>
      <c r="N37" s="3">
        <f>IF(DAY(JunDom1)=1,IF(AND(YEAR(JunDom1+10)=Año_Calendario,MONTH(JunDom1+10)=6),JunDom1+10,""),IF(AND(YEAR(JunDom1+17)=Año_Calendario,MONTH(JunDom1+17)=6),JunDom1+17,""))</f>
        <v>40709</v>
      </c>
      <c r="O37" s="3">
        <f>IF(DAY(JunDom1)=1,IF(AND(YEAR(JunDom1+11)=Año_Calendario,MONTH(JunDom1+11)=6),JunDom1+11,""),IF(AND(YEAR(JunDom1+18)=Año_Calendario,MONTH(JunDom1+18)=6),JunDom1+18,""))</f>
        <v>40710</v>
      </c>
      <c r="P37" s="3">
        <f>IF(DAY(JunDom1)=1,IF(AND(YEAR(JunDom1+12)=Año_Calendario,MONTH(JunDom1+12)=6),JunDom1+12,""),IF(AND(YEAR(JunDom1+19)=Año_Calendario,MONTH(JunDom1+19)=6),JunDom1+19,""))</f>
        <v>40711</v>
      </c>
      <c r="Q37" s="3">
        <f>IF(DAY(JunDom1)=1,IF(AND(YEAR(JunDom1+13)=Año_Calendario,MONTH(JunDom1+13)=6),JunDom1+13,""),IF(AND(YEAR(JunDom1+20)=Año_Calendario,MONTH(JunDom1+20)=6),JunDom1+20,""))</f>
        <v>40712</v>
      </c>
      <c r="R37" s="3">
        <f>IF(DAY(JunDom1)=1,IF(AND(YEAR(JunDom1+14)=Año_Calendario,MONTH(JunDom1+14)=6),JunDom1+14,""),IF(AND(YEAR(JunDom1+21)=Año_Calendario,MONTH(JunDom1+21)=6),JunDom1+21,""))</f>
        <v>40713</v>
      </c>
      <c r="S37" s="15"/>
      <c r="U37" s="3">
        <f>IF(DAY(JulDom1)=1,IF(AND(YEAR(JulDom1+8)=Año_Calendario,MONTH(JulDom1+8)=7),JulDom1+8,""),IF(AND(YEAR(JulDom1+15)=Año_Calendario,MONTH(JulDom1+15)=7),JulDom1+15,""))</f>
        <v>40735</v>
      </c>
      <c r="V37" s="3">
        <f>IF(DAY(JulDom1)=1,IF(AND(YEAR(JulDom1+9)=Año_Calendario,MONTH(JulDom1+9)=7),JulDom1+9,""),IF(AND(YEAR(JulDom1+16)=Año_Calendario,MONTH(JulDom1+16)=7),JulDom1+16,""))</f>
        <v>40736</v>
      </c>
      <c r="W37" s="3">
        <f>IF(DAY(JulDom1)=1,IF(AND(YEAR(JulDom1+10)=Año_Calendario,MONTH(JulDom1+10)=7),JulDom1+10,""),IF(AND(YEAR(JulDom1+17)=Año_Calendario,MONTH(JulDom1+17)=7),JulDom1+17,""))</f>
        <v>40737</v>
      </c>
      <c r="X37" s="3">
        <f>IF(DAY(JulDom1)=1,IF(AND(YEAR(JulDom1+11)=Año_Calendario,MONTH(JulDom1+11)=7),JulDom1+11,""),IF(AND(YEAR(JulDom1+18)=Año_Calendario,MONTH(JulDom1+18)=7),JulDom1+18,""))</f>
        <v>40738</v>
      </c>
      <c r="Y37" s="3">
        <f>IF(DAY(JulDom1)=1,IF(AND(YEAR(JulDom1+12)=Año_Calendario,MONTH(JulDom1+12)=7),JulDom1+12,""),IF(AND(YEAR(JulDom1+19)=Año_Calendario,MONTH(JulDom1+19)=7),JulDom1+19,""))</f>
        <v>40739</v>
      </c>
      <c r="Z37" s="3">
        <f>IF(DAY(JulDom1)=1,IF(AND(YEAR(JulDom1+13)=Año_Calendario,MONTH(JulDom1+13)=7),JulDom1+13,""),IF(AND(YEAR(JulDom1+20)=Año_Calendario,MONTH(JulDom1+20)=7),JulDom1+20,""))</f>
        <v>40740</v>
      </c>
      <c r="AA37" s="3">
        <f>IF(DAY(JulDom1)=1,IF(AND(YEAR(JulDom1+14)=Año_Calendario,MONTH(JulDom1+14)=7),JulDom1+14,""),IF(AND(YEAR(JulDom1+21)=Año_Calendario,MONTH(JulDom1+21)=7),JulDom1+21,""))</f>
        <v>40741</v>
      </c>
      <c r="AB37" s="15"/>
      <c r="AC37" s="5"/>
      <c r="AD37" s="3">
        <f>IF(DAY(AgoDom1)=1,IF(AND(YEAR(AgoDom1+8)=Año_Calendario,MONTH(AgoDom1+8)=8),AgoDom1+8,""),IF(AND(YEAR(AgoDom1+15)=Año_Calendario,MONTH(AgoDom1+15)=8),AgoDom1+15,""))</f>
        <v>40770</v>
      </c>
      <c r="AE37" s="3">
        <f>IF(DAY(AgoDom1)=1,IF(AND(YEAR(AgoDom1+9)=Año_Calendario,MONTH(AgoDom1+9)=8),AgoDom1+9,""),IF(AND(YEAR(AgoDom1+16)=Año_Calendario,MONTH(AgoDom1+16)=8),AgoDom1+16,""))</f>
        <v>40771</v>
      </c>
      <c r="AF37" s="3">
        <f>IF(DAY(AgoDom1)=1,IF(AND(YEAR(AgoDom1+10)=Año_Calendario,MONTH(AgoDom1+10)=8),AgoDom1+10,""),IF(AND(YEAR(AgoDom1+17)=Año_Calendario,MONTH(AgoDom1+17)=8),AgoDom1+17,""))</f>
        <v>40772</v>
      </c>
      <c r="AG37" s="3">
        <f>IF(DAY(AgoDom1)=1,IF(AND(YEAR(AgoDom1+11)=Año_Calendario,MONTH(AgoDom1+11)=8),AgoDom1+11,""),IF(AND(YEAR(AgoDom1+18)=Año_Calendario,MONTH(AgoDom1+18)=8),AgoDom1+18,""))</f>
        <v>40773</v>
      </c>
      <c r="AH37" s="3">
        <f>IF(DAY(AgoDom1)=1,IF(AND(YEAR(AgoDom1+12)=Año_Calendario,MONTH(AgoDom1+12)=8),AgoDom1+12,""),IF(AND(YEAR(AgoDom1+19)=Año_Calendario,MONTH(AgoDom1+19)=8),AgoDom1+19,""))</f>
        <v>40774</v>
      </c>
      <c r="AI37" s="3">
        <f>IF(DAY(AgoDom1)=1,IF(AND(YEAR(AgoDom1+13)=Año_Calendario,MONTH(AgoDom1+13)=8),AgoDom1+13,""),IF(AND(YEAR(AgoDom1+20)=Año_Calendario,MONTH(AgoDom1+20)=8),AgoDom1+20,""))</f>
        <v>40775</v>
      </c>
      <c r="AJ37" s="3">
        <f>IF(DAY(AgoDom1)=1,IF(AND(YEAR(AgoDom1+14)=Año_Calendario,MONTH(AgoDom1+14)=8),AgoDom1+14,""),IF(AND(YEAR(AgoDom1+21)=Año_Calendario,MONTH(AgoDom1+21)=8),AgoDom1+21,""))</f>
        <v>40776</v>
      </c>
    </row>
    <row r="38" spans="3:36">
      <c r="C38" s="3">
        <f>IF(DAY(MayDom1)=1,IF(AND(YEAR(MayDom1+15)=Año_Calendario,MONTH(MayDom1+15)=5),MayDom1+15,""),IF(AND(YEAR(MayDom1+22)=Año_Calendario,MONTH(MayDom1+22)=5),MayDom1+22,""))</f>
        <v>40679</v>
      </c>
      <c r="D38" s="3">
        <f>IF(DAY(MayDom1)=1,IF(AND(YEAR(MayDom1+16)=Año_Calendario,MONTH(MayDom1+16)=5),MayDom1+16,""),IF(AND(YEAR(MayDom1+23)=Año_Calendario,MONTH(MayDom1+23)=5),MayDom1+23,""))</f>
        <v>40680</v>
      </c>
      <c r="E38" s="3">
        <f>IF(DAY(MayDom1)=1,IF(AND(YEAR(MayDom1+17)=Año_Calendario,MONTH(MayDom1+17)=5),MayDom1+17,""),IF(AND(YEAR(MayDom1+24)=Año_Calendario,MONTH(MayDom1+24)=5),MayDom1+24,""))</f>
        <v>40681</v>
      </c>
      <c r="F38" s="3">
        <f>IF(DAY(MayDom1)=1,IF(AND(YEAR(MayDom1+18)=Año_Calendario,MONTH(MayDom1+18)=5),MayDom1+18,""),IF(AND(YEAR(MayDom1+25)=Año_Calendario,MONTH(MayDom1+25)=5),MayDom1+25,""))</f>
        <v>40682</v>
      </c>
      <c r="G38" s="3">
        <f>IF(DAY(MayDom1)=1,IF(AND(YEAR(MayDom1+19)=Año_Calendario,MONTH(MayDom1+19)=5),MayDom1+19,""),IF(AND(YEAR(MayDom1+26)=Año_Calendario,MONTH(MayDom1+26)=5),MayDom1+26,""))</f>
        <v>40683</v>
      </c>
      <c r="H38" s="3">
        <f>IF(DAY(MayDom1)=1,IF(AND(YEAR(MayDom1+20)=Año_Calendario,MONTH(MayDom1+20)=5),MayDom1+20,""),IF(AND(YEAR(MayDom1+27)=Año_Calendario,MONTH(MayDom1+27)=5),MayDom1+27,""))</f>
        <v>40684</v>
      </c>
      <c r="I38" s="3">
        <f>IF(DAY(MayDom1)=1,IF(AND(YEAR(MayDom1+21)=Año_Calendario,MONTH(MayDom1+21)=5),MayDom1+21,""),IF(AND(YEAR(MayDom1+28)=Año_Calendario,MONTH(MayDom1+28)=5),MayDom1+28,""))</f>
        <v>40685</v>
      </c>
      <c r="J38" s="15"/>
      <c r="K38" s="3"/>
      <c r="L38" s="3">
        <f>IF(DAY(JunDom1)=1,IF(AND(YEAR(JunDom1+15)=Año_Calendario,MONTH(JunDom1+15)=6),JunDom1+15,""),IF(AND(YEAR(JunDom1+22)=Año_Calendario,MONTH(JunDom1+22)=6),JunDom1+22,""))</f>
        <v>40714</v>
      </c>
      <c r="M38" s="3">
        <f>IF(DAY(JunDom1)=1,IF(AND(YEAR(JunDom1+16)=Año_Calendario,MONTH(JunDom1+16)=6),JunDom1+16,""),IF(AND(YEAR(JunDom1+23)=Año_Calendario,MONTH(JunDom1+23)=6),JunDom1+23,""))</f>
        <v>40715</v>
      </c>
      <c r="N38" s="3">
        <f>IF(DAY(JunDom1)=1,IF(AND(YEAR(JunDom1+17)=Año_Calendario,MONTH(JunDom1+17)=6),JunDom1+17,""),IF(AND(YEAR(JunDom1+24)=Año_Calendario,MONTH(JunDom1+24)=6),JunDom1+24,""))</f>
        <v>40716</v>
      </c>
      <c r="O38" s="3">
        <f>IF(DAY(JunDom1)=1,IF(AND(YEAR(JunDom1+18)=Año_Calendario,MONTH(JunDom1+18)=6),JunDom1+18,""),IF(AND(YEAR(JunDom1+25)=Año_Calendario,MONTH(JunDom1+25)=6),JunDom1+25,""))</f>
        <v>40717</v>
      </c>
      <c r="P38" s="3">
        <f>IF(DAY(JunDom1)=1,IF(AND(YEAR(JunDom1+19)=Año_Calendario,MONTH(JunDom1+19)=6),JunDom1+19,""),IF(AND(YEAR(JunDom1+26)=Año_Calendario,MONTH(JunDom1+26)=6),JunDom1+26,""))</f>
        <v>40718</v>
      </c>
      <c r="Q38" s="3">
        <f>IF(DAY(JunDom1)=1,IF(AND(YEAR(JunDom1+20)=Año_Calendario,MONTH(JunDom1+20)=6),JunDom1+20,""),IF(AND(YEAR(JunDom1+27)=Año_Calendario,MONTH(JunDom1+27)=6),JunDom1+27,""))</f>
        <v>40719</v>
      </c>
      <c r="R38" s="3">
        <f>IF(DAY(JunDom1)=1,IF(AND(YEAR(JunDom1+21)=Año_Calendario,MONTH(JunDom1+21)=6),JunDom1+21,""),IF(AND(YEAR(JunDom1+28)=Año_Calendario,MONTH(JunDom1+28)=6),JunDom1+28,""))</f>
        <v>40720</v>
      </c>
      <c r="S38" s="15"/>
      <c r="U38" s="3">
        <f>IF(DAY(JulDom1)=1,IF(AND(YEAR(JulDom1+15)=Año_Calendario,MONTH(JulDom1+15)=7),JulDom1+15,""),IF(AND(YEAR(JulDom1+22)=Año_Calendario,MONTH(JulDom1+22)=7),JulDom1+22,""))</f>
        <v>40742</v>
      </c>
      <c r="V38" s="3">
        <f>IF(DAY(JulDom1)=1,IF(AND(YEAR(JulDom1+16)=Año_Calendario,MONTH(JulDom1+16)=7),JulDom1+16,""),IF(AND(YEAR(JulDom1+23)=Año_Calendario,MONTH(JulDom1+23)=7),JulDom1+23,""))</f>
        <v>40743</v>
      </c>
      <c r="W38" s="3">
        <f>IF(DAY(JulDom1)=1,IF(AND(YEAR(JulDom1+17)=Año_Calendario,MONTH(JulDom1+17)=7),JulDom1+17,""),IF(AND(YEAR(JulDom1+24)=Año_Calendario,MONTH(JulDom1+24)=7),JulDom1+24,""))</f>
        <v>40744</v>
      </c>
      <c r="X38" s="3">
        <f>IF(DAY(JulDom1)=1,IF(AND(YEAR(JulDom1+18)=Año_Calendario,MONTH(JulDom1+18)=7),JulDom1+18,""),IF(AND(YEAR(JulDom1+25)=Año_Calendario,MONTH(JulDom1+25)=7),JulDom1+25,""))</f>
        <v>40745</v>
      </c>
      <c r="Y38" s="3">
        <f>IF(DAY(JulDom1)=1,IF(AND(YEAR(JulDom1+19)=Año_Calendario,MONTH(JulDom1+19)=7),JulDom1+19,""),IF(AND(YEAR(JulDom1+26)=Año_Calendario,MONTH(JulDom1+26)=7),JulDom1+26,""))</f>
        <v>40746</v>
      </c>
      <c r="Z38" s="3">
        <f>IF(DAY(JulDom1)=1,IF(AND(YEAR(JulDom1+20)=Año_Calendario,MONTH(JulDom1+20)=7),JulDom1+20,""),IF(AND(YEAR(JulDom1+27)=Año_Calendario,MONTH(JulDom1+27)=7),JulDom1+27,""))</f>
        <v>40747</v>
      </c>
      <c r="AA38" s="3">
        <f>IF(DAY(JulDom1)=1,IF(AND(YEAR(JulDom1+21)=Año_Calendario,MONTH(JulDom1+21)=7),JulDom1+21,""),IF(AND(YEAR(JulDom1+28)=Año_Calendario,MONTH(JulDom1+28)=7),JulDom1+28,""))</f>
        <v>40748</v>
      </c>
      <c r="AB38" s="15"/>
      <c r="AC38" s="5"/>
      <c r="AD38" s="3">
        <f>IF(DAY(AgoDom1)=1,IF(AND(YEAR(AgoDom1+15)=Año_Calendario,MONTH(AgoDom1+15)=8),AgoDom1+15,""),IF(AND(YEAR(AgoDom1+22)=Año_Calendario,MONTH(AgoDom1+22)=8),AgoDom1+22,""))</f>
        <v>40777</v>
      </c>
      <c r="AE38" s="3">
        <f>IF(DAY(AgoDom1)=1,IF(AND(YEAR(AgoDom1+16)=Año_Calendario,MONTH(AgoDom1+16)=8),AgoDom1+16,""),IF(AND(YEAR(AgoDom1+23)=Año_Calendario,MONTH(AgoDom1+23)=8),AgoDom1+23,""))</f>
        <v>40778</v>
      </c>
      <c r="AF38" s="3">
        <f>IF(DAY(AgoDom1)=1,IF(AND(YEAR(AgoDom1+17)=Año_Calendario,MONTH(AgoDom1+17)=8),AgoDom1+17,""),IF(AND(YEAR(AgoDom1+24)=Año_Calendario,MONTH(AgoDom1+24)=8),AgoDom1+24,""))</f>
        <v>40779</v>
      </c>
      <c r="AG38" s="3">
        <f>IF(DAY(AgoDom1)=1,IF(AND(YEAR(AgoDom1+18)=Año_Calendario,MONTH(AgoDom1+18)=8),AgoDom1+18,""),IF(AND(YEAR(AgoDom1+25)=Año_Calendario,MONTH(AgoDom1+25)=8),AgoDom1+25,""))</f>
        <v>40780</v>
      </c>
      <c r="AH38" s="3">
        <f>IF(DAY(AgoDom1)=1,IF(AND(YEAR(AgoDom1+19)=Año_Calendario,MONTH(AgoDom1+19)=8),AgoDom1+19,""),IF(AND(YEAR(AgoDom1+26)=Año_Calendario,MONTH(AgoDom1+26)=8),AgoDom1+26,""))</f>
        <v>40781</v>
      </c>
      <c r="AI38" s="3">
        <f>IF(DAY(AgoDom1)=1,IF(AND(YEAR(AgoDom1+20)=Año_Calendario,MONTH(AgoDom1+20)=8),AgoDom1+20,""),IF(AND(YEAR(AgoDom1+27)=Año_Calendario,MONTH(AgoDom1+27)=8),AgoDom1+27,""))</f>
        <v>40782</v>
      </c>
      <c r="AJ38" s="3">
        <f>IF(DAY(AgoDom1)=1,IF(AND(YEAR(AgoDom1+21)=Año_Calendario,MONTH(AgoDom1+21)=8),AgoDom1+21,""),IF(AND(YEAR(AgoDom1+28)=Año_Calendario,MONTH(AgoDom1+28)=8),AgoDom1+28,""))</f>
        <v>40783</v>
      </c>
    </row>
    <row r="39" spans="3:36">
      <c r="C39" s="3">
        <f>IF(DAY(MayDom1)=1,IF(AND(YEAR(MayDom1+22)=Año_Calendario,MONTH(MayDom1+22)=5),MayDom1+22,""),IF(AND(YEAR(MayDom1+29)=Año_Calendario,MONTH(MayDom1+29)=5),MayDom1+29,""))</f>
        <v>40686</v>
      </c>
      <c r="D39" s="3">
        <f>IF(DAY(MayDom1)=1,IF(AND(YEAR(MayDom1+23)=Año_Calendario,MONTH(MayDom1+23)=5),MayDom1+23,""),IF(AND(YEAR(MayDom1+30)=Año_Calendario,MONTH(MayDom1+30)=5),MayDom1+30,""))</f>
        <v>40687</v>
      </c>
      <c r="E39" s="3">
        <f>IF(DAY(MayDom1)=1,IF(AND(YEAR(MayDom1+24)=Año_Calendario,MONTH(MayDom1+24)=5),MayDom1+24,""),IF(AND(YEAR(MayDom1+31)=Año_Calendario,MONTH(MayDom1+31)=5),MayDom1+31,""))</f>
        <v>40688</v>
      </c>
      <c r="F39" s="3">
        <f>IF(DAY(MayDom1)=1,IF(AND(YEAR(MayDom1+25)=Año_Calendario,MONTH(MayDom1+25)=5),MayDom1+25,""),IF(AND(YEAR(MayDom1+32)=Año_Calendario,MONTH(MayDom1+32)=5),MayDom1+32,""))</f>
        <v>40689</v>
      </c>
      <c r="G39" s="3">
        <f>IF(DAY(MayDom1)=1,IF(AND(YEAR(MayDom1+26)=Año_Calendario,MONTH(MayDom1+26)=5),MayDom1+26,""),IF(AND(YEAR(MayDom1+33)=Año_Calendario,MONTH(MayDom1+33)=5),MayDom1+33,""))</f>
        <v>40690</v>
      </c>
      <c r="H39" s="3">
        <f>IF(DAY(MayDom1)=1,IF(AND(YEAR(MayDom1+27)=Año_Calendario,MONTH(MayDom1+27)=5),MayDom1+27,""),IF(AND(YEAR(MayDom1+34)=Año_Calendario,MONTH(MayDom1+34)=5),MayDom1+34,""))</f>
        <v>40691</v>
      </c>
      <c r="I39" s="3">
        <f>IF(DAY(MayDom1)=1,IF(AND(YEAR(MayDom1+28)=Año_Calendario,MONTH(MayDom1+28)=5),MayDom1+28,""),IF(AND(YEAR(MayDom1+35)=Año_Calendario,MONTH(MayDom1+35)=5),MayDom1+35,""))</f>
        <v>40692</v>
      </c>
      <c r="J39" s="15"/>
      <c r="K39" s="3"/>
      <c r="L39" s="3">
        <f>IF(DAY(JunDom1)=1,IF(AND(YEAR(JunDom1+22)=Año_Calendario,MONTH(JunDom1+22)=6),JunDom1+22,""),IF(AND(YEAR(JunDom1+29)=Año_Calendario,MONTH(JunDom1+29)=6),JunDom1+29,""))</f>
        <v>40721</v>
      </c>
      <c r="M39" s="3">
        <f>IF(DAY(JunDom1)=1,IF(AND(YEAR(JunDom1+23)=Año_Calendario,MONTH(JunDom1+23)=6),JunDom1+23,""),IF(AND(YEAR(JunDom1+30)=Año_Calendario,MONTH(JunDom1+30)=6),JunDom1+30,""))</f>
        <v>40722</v>
      </c>
      <c r="N39" s="3">
        <f>IF(DAY(JunDom1)=1,IF(AND(YEAR(JunDom1+24)=Año_Calendario,MONTH(JunDom1+24)=6),JunDom1+24,""),IF(AND(YEAR(JunDom1+31)=Año_Calendario,MONTH(JunDom1+31)=6),JunDom1+31,""))</f>
        <v>40723</v>
      </c>
      <c r="O39" s="3">
        <f>IF(DAY(JunDom1)=1,IF(AND(YEAR(JunDom1+25)=Año_Calendario,MONTH(JunDom1+25)=6),JunDom1+25,""),IF(AND(YEAR(JunDom1+32)=Año_Calendario,MONTH(JunDom1+32)=6),JunDom1+32,""))</f>
        <v>40724</v>
      </c>
      <c r="P39" s="3" t="str">
        <f>IF(DAY(JunDom1)=1,IF(AND(YEAR(JunDom1+26)=Año_Calendario,MONTH(JunDom1+26)=6),JunDom1+26,""),IF(AND(YEAR(JunDom1+33)=Año_Calendario,MONTH(JunDom1+33)=6),JunDom1+33,""))</f>
        <v/>
      </c>
      <c r="Q39" s="3" t="str">
        <f>IF(DAY(JunDom1)=1,IF(AND(YEAR(JunDom1+27)=Año_Calendario,MONTH(JunDom1+27)=6),JunDom1+27,""),IF(AND(YEAR(JunDom1+34)=Año_Calendario,MONTH(JunDom1+34)=6),JunDom1+34,""))</f>
        <v/>
      </c>
      <c r="R39" s="3" t="str">
        <f>IF(DAY(JunDom1)=1,IF(AND(YEAR(JunDom1+28)=Año_Calendario,MONTH(JunDom1+28)=6),JunDom1+28,""),IF(AND(YEAR(JunDom1+35)=Año_Calendario,MONTH(JunDom1+35)=6),JunDom1+35,""))</f>
        <v/>
      </c>
      <c r="S39" s="15"/>
      <c r="U39" s="3">
        <f>IF(DAY(JulDom1)=1,IF(AND(YEAR(JulDom1+22)=Año_Calendario,MONTH(JulDom1+22)=7),JulDom1+22,""),IF(AND(YEAR(JulDom1+29)=Año_Calendario,MONTH(JulDom1+29)=7),JulDom1+29,""))</f>
        <v>40749</v>
      </c>
      <c r="V39" s="3">
        <f>IF(DAY(JulDom1)=1,IF(AND(YEAR(JulDom1+23)=Año_Calendario,MONTH(JulDom1+23)=7),JulDom1+23,""),IF(AND(YEAR(JulDom1+30)=Año_Calendario,MONTH(JulDom1+30)=7),JulDom1+30,""))</f>
        <v>40750</v>
      </c>
      <c r="W39" s="3">
        <f>IF(DAY(JulDom1)=1,IF(AND(YEAR(JulDom1+24)=Año_Calendario,MONTH(JulDom1+24)=7),JulDom1+24,""),IF(AND(YEAR(JulDom1+31)=Año_Calendario,MONTH(JulDom1+31)=7),JulDom1+31,""))</f>
        <v>40751</v>
      </c>
      <c r="X39" s="3">
        <f>IF(DAY(JulDom1)=1,IF(AND(YEAR(JulDom1+25)=Año_Calendario,MONTH(JulDom1+25)=7),JulDom1+25,""),IF(AND(YEAR(JulDom1+32)=Año_Calendario,MONTH(JulDom1+32)=7),JulDom1+32,""))</f>
        <v>40752</v>
      </c>
      <c r="Y39" s="3">
        <f>IF(DAY(JulDom1)=1,IF(AND(YEAR(JulDom1+26)=Año_Calendario,MONTH(JulDom1+26)=7),JulDom1+26,""),IF(AND(YEAR(JulDom1+33)=Año_Calendario,MONTH(JulDom1+33)=7),JulDom1+33,""))</f>
        <v>40753</v>
      </c>
      <c r="Z39" s="3">
        <f>IF(DAY(JulDom1)=1,IF(AND(YEAR(JulDom1+27)=Año_Calendario,MONTH(JulDom1+27)=7),JulDom1+27,""),IF(AND(YEAR(JulDom1+34)=Año_Calendario,MONTH(JulDom1+34)=7),JulDom1+34,""))</f>
        <v>40754</v>
      </c>
      <c r="AA39" s="3">
        <f>IF(DAY(JulDom1)=1,IF(AND(YEAR(JulDom1+28)=Año_Calendario,MONTH(JulDom1+28)=7),JulDom1+28,""),IF(AND(YEAR(JulDom1+35)=Año_Calendario,MONTH(JulDom1+35)=7),JulDom1+35,""))</f>
        <v>40755</v>
      </c>
      <c r="AB39" s="15"/>
      <c r="AC39" s="5"/>
      <c r="AD39" s="3">
        <f>IF(DAY(AgoDom1)=1,IF(AND(YEAR(AgoDom1+22)=Año_Calendario,MONTH(AgoDom1+22)=8),AgoDom1+22,""),IF(AND(YEAR(AgoDom1+29)=Año_Calendario,MONTH(AgoDom1+29)=8),AgoDom1+29,""))</f>
        <v>40784</v>
      </c>
      <c r="AE39" s="3">
        <f>IF(DAY(AgoDom1)=1,IF(AND(YEAR(AgoDom1+23)=Año_Calendario,MONTH(AgoDom1+23)=8),AgoDom1+23,""),IF(AND(YEAR(AgoDom1+30)=Año_Calendario,MONTH(AgoDom1+30)=8),AgoDom1+30,""))</f>
        <v>40785</v>
      </c>
      <c r="AF39" s="3">
        <f>IF(DAY(AgoDom1)=1,IF(AND(YEAR(AgoDom1+24)=Año_Calendario,MONTH(AgoDom1+24)=8),AgoDom1+24,""),IF(AND(YEAR(AgoDom1+31)=Año_Calendario,MONTH(AgoDom1+31)=8),AgoDom1+31,""))</f>
        <v>40786</v>
      </c>
      <c r="AG39" s="3" t="str">
        <f>IF(DAY(AgoDom1)=1,IF(AND(YEAR(AgoDom1+25)=Año_Calendario,MONTH(AgoDom1+25)=8),AgoDom1+25,""),IF(AND(YEAR(AgoDom1+32)=Año_Calendario,MONTH(AgoDom1+32)=8),AgoDom1+32,""))</f>
        <v/>
      </c>
      <c r="AH39" s="3" t="str">
        <f>IF(DAY(AgoDom1)=1,IF(AND(YEAR(AgoDom1+26)=Año_Calendario,MONTH(AgoDom1+26)=8),AgoDom1+26,""),IF(AND(YEAR(AgoDom1+33)=Año_Calendario,MONTH(AgoDom1+33)=8),AgoDom1+33,""))</f>
        <v/>
      </c>
      <c r="AI39" s="3" t="str">
        <f>IF(DAY(AgoDom1)=1,IF(AND(YEAR(AgoDom1+27)=Año_Calendario,MONTH(AgoDom1+27)=8),AgoDom1+27,""),IF(AND(YEAR(AgoDom1+34)=Año_Calendario,MONTH(AgoDom1+34)=8),AgoDom1+34,""))</f>
        <v/>
      </c>
      <c r="AJ39" s="3" t="str">
        <f>IF(DAY(AgoDom1)=1,IF(AND(YEAR(AgoDom1+28)=Año_Calendario,MONTH(AgoDom1+28)=8),AgoDom1+28,""),IF(AND(YEAR(AgoDom1+35)=Año_Calendario,MONTH(AgoDom1+35)=8),AgoDom1+35,""))</f>
        <v/>
      </c>
    </row>
    <row r="40" spans="3:36">
      <c r="C40" s="3">
        <f>IF(DAY(MayDom1)=1,IF(AND(YEAR(MayDom1+29)=Año_Calendario,MONTH(MayDom1+29)=5),MayDom1+29,""),IF(AND(YEAR(MayDom1+36)=Año_Calendario,MONTH(MayDom1+36)=5),MayDom1+36,""))</f>
        <v>40693</v>
      </c>
      <c r="D40" s="3">
        <f>IF(DAY(MayDom1)=1,IF(AND(YEAR(MayDom1+30)=Año_Calendario,MONTH(MayDom1+30)=5),MayDom1+30,""),IF(AND(YEAR(MayDom1+37)=Año_Calendario,MONTH(MayDom1+37)=5),MayDom1+37,""))</f>
        <v>40694</v>
      </c>
      <c r="E40" s="3" t="str">
        <f>IF(DAY(MayDom1)=1,IF(AND(YEAR(MayDom1+31)=Año_Calendario,MONTH(MayDom1+31)=5),MayDom1+31,""),IF(AND(YEAR(MayDom1+38)=Año_Calendario,MONTH(MayDom1+38)=5),MayDom1+38,""))</f>
        <v/>
      </c>
      <c r="F40" s="3" t="str">
        <f>IF(DAY(MayDom1)=1,IF(AND(YEAR(MayDom1+32)=Año_Calendario,MONTH(MayDom1+32)=5),MayDom1+32,""),IF(AND(YEAR(MayDom1+39)=Año_Calendario,MONTH(MayDom1+39)=5),MayDom1+39,""))</f>
        <v/>
      </c>
      <c r="G40" s="3" t="str">
        <f>IF(DAY(MayDom1)=1,IF(AND(YEAR(MayDom1+33)=Año_Calendario,MONTH(MayDom1+33)=5),MayDom1+33,""),IF(AND(YEAR(MayDom1+40)=Año_Calendario,MONTH(MayDom1+40)=5),MayDom1+40,""))</f>
        <v/>
      </c>
      <c r="H40" s="3" t="str">
        <f>IF(DAY(MayDom1)=1,IF(AND(YEAR(MayDom1+34)=Año_Calendario,MONTH(MayDom1+34)=5),MayDom1+34,""),IF(AND(YEAR(MayDom1+41)=Año_Calendario,MONTH(MayDom1+41)=5),MayDom1+41,""))</f>
        <v/>
      </c>
      <c r="I40" s="3" t="str">
        <f>IF(DAY(MayDom1)=1,IF(AND(YEAR(MayDom1+35)=Año_Calendario,MONTH(MayDom1+35)=5),MayDom1+35,""),IF(AND(YEAR(MayDom1+42)=Año_Calendario,MONTH(MayDom1+42)=5),MayDom1+42,""))</f>
        <v/>
      </c>
      <c r="J40" s="15"/>
      <c r="K40" s="3"/>
      <c r="L40" s="3" t="str">
        <f>IF(DAY(JunDom1)=1,IF(AND(YEAR(JunDom1+29)=Año_Calendario,MONTH(JunDom1+29)=6),JunDom1+29,""),IF(AND(YEAR(JunDom1+36)=Año_Calendario,MONTH(JunDom1+36)=6),JunDom1+36,""))</f>
        <v/>
      </c>
      <c r="M40" s="3" t="str">
        <f>IF(DAY(JunDom1)=1,IF(AND(YEAR(JunDom1+30)=Año_Calendario,MONTH(JunDom1+30)=6),JunDom1+30,""),IF(AND(YEAR(JunDom1+37)=Año_Calendario,MONTH(JunDom1+37)=6),JunDom1+37,""))</f>
        <v/>
      </c>
      <c r="N40" s="3" t="str">
        <f>IF(DAY(JunDom1)=1,IF(AND(YEAR(JunDom1+31)=Año_Calendario,MONTH(JunDom1+31)=6),JunDom1+31,""),IF(AND(YEAR(JunDom1+38)=Año_Calendario,MONTH(JunDom1+38)=6),JunDom1+38,""))</f>
        <v/>
      </c>
      <c r="O40" s="3" t="str">
        <f>IF(DAY(JunDom1)=1,IF(AND(YEAR(JunDom1+32)=Año_Calendario,MONTH(JunDom1+32)=6),JunDom1+32,""),IF(AND(YEAR(JunDom1+39)=Año_Calendario,MONTH(JunDom1+39)=6),JunDom1+39,""))</f>
        <v/>
      </c>
      <c r="P40" s="3" t="str">
        <f>IF(DAY(JunDom1)=1,IF(AND(YEAR(JunDom1+33)=Año_Calendario,MONTH(JunDom1+33)=6),JunDom1+33,""),IF(AND(YEAR(JunDom1+40)=Año_Calendario,MONTH(JunDom1+40)=6),JunDom1+40,""))</f>
        <v/>
      </c>
      <c r="Q40" s="3" t="str">
        <f>IF(DAY(JunDom1)=1,IF(AND(YEAR(JunDom1+34)=Año_Calendario,MONTH(JunDom1+34)=6),JunDom1+34,""),IF(AND(YEAR(JunDom1+41)=Año_Calendario,MONTH(JunDom1+41)=6),JunDom1+41,""))</f>
        <v/>
      </c>
      <c r="R40" s="3" t="str">
        <f>IF(DAY(JunDom1)=1,IF(AND(YEAR(JunDom1+35)=Año_Calendario,MONTH(JunDom1+35)=6),JunDom1+35,""),IF(AND(YEAR(JunDom1+42)=Año_Calendario,MONTH(JunDom1+42)=6),JunDom1+42,""))</f>
        <v/>
      </c>
      <c r="S40" s="15"/>
      <c r="U40" s="3" t="str">
        <f>IF(DAY(JulDom1)=1,IF(AND(YEAR(JulDom1+29)=Año_Calendario,MONTH(JulDom1+29)=7),JulDom1+29,""),IF(AND(YEAR(JulDom1+36)=Año_Calendario,MONTH(JulDom1+36)=7),JulDom1+36,""))</f>
        <v/>
      </c>
      <c r="V40" s="3" t="str">
        <f>IF(DAY(JulDom1)=1,IF(AND(YEAR(JulDom1+30)=Año_Calendario,MONTH(JulDom1+30)=7),JulDom1+30,""),IF(AND(YEAR(JulDom1+37)=Año_Calendario,MONTH(JulDom1+37)=7),JulDom1+37,""))</f>
        <v/>
      </c>
      <c r="W40" s="3" t="str">
        <f>IF(DAY(JulDom1)=1,IF(AND(YEAR(JulDom1+31)=Año_Calendario,MONTH(JulDom1+31)=7),JulDom1+31,""),IF(AND(YEAR(JulDom1+38)=Año_Calendario,MONTH(JulDom1+38)=7),JulDom1+38,""))</f>
        <v/>
      </c>
      <c r="X40" s="3" t="str">
        <f>IF(DAY(JulDom1)=1,IF(AND(YEAR(JulDom1+32)=Año_Calendario,MONTH(JulDom1+32)=7),JulDom1+32,""),IF(AND(YEAR(JulDom1+39)=Año_Calendario,MONTH(JulDom1+39)=7),JulDom1+39,""))</f>
        <v/>
      </c>
      <c r="Y40" s="3" t="str">
        <f>IF(DAY(JulDom1)=1,IF(AND(YEAR(JulDom1+33)=Año_Calendario,MONTH(JulDom1+33)=7),JulDom1+33,""),IF(AND(YEAR(JulDom1+40)=Año_Calendario,MONTH(JulDom1+40)=7),JulDom1+40,""))</f>
        <v/>
      </c>
      <c r="Z40" s="3" t="str">
        <f>IF(DAY(JulDom1)=1,IF(AND(YEAR(JulDom1+34)=Año_Calendario,MONTH(JulDom1+34)=7),JulDom1+34,""),IF(AND(YEAR(JulDom1+41)=Año_Calendario,MONTH(JulDom1+41)=7),JulDom1+41,""))</f>
        <v/>
      </c>
      <c r="AA40" s="3" t="str">
        <f>IF(DAY(JulDom1)=1,IF(AND(YEAR(JulDom1+35)=Año_Calendario,MONTH(JulDom1+35)=7),JulDom1+35,""),IF(AND(YEAR(JulDom1+42)=Año_Calendario,MONTH(JulDom1+42)=7),JulDom1+42,""))</f>
        <v/>
      </c>
      <c r="AB40" s="15"/>
      <c r="AC40" s="5"/>
      <c r="AD40" s="3" t="str">
        <f>IF(DAY(AgoDom1)=1,IF(AND(YEAR(AgoDom1+29)=Año_Calendario,MONTH(AgoDom1+29)=8),AgoDom1+29,""),IF(AND(YEAR(AgoDom1+36)=Año_Calendario,MONTH(AgoDom1+36)=8),AgoDom1+36,""))</f>
        <v/>
      </c>
      <c r="AE40" s="3" t="str">
        <f>IF(DAY(AgoDom1)=1,IF(AND(YEAR(AgoDom1+30)=Año_Calendario,MONTH(AgoDom1+30)=8),AgoDom1+30,""),IF(AND(YEAR(AgoDom1+37)=Año_Calendario,MONTH(AgoDom1+37)=8),AgoDom1+37,""))</f>
        <v/>
      </c>
      <c r="AF40" s="3" t="str">
        <f>IF(DAY(AgoDom1)=1,IF(AND(YEAR(AgoDom1+31)=Año_Calendario,MONTH(AgoDom1+31)=8),AgoDom1+31,""),IF(AND(YEAR(AgoDom1+38)=Año_Calendario,MONTH(AgoDom1+38)=8),AgoDom1+38,""))</f>
        <v/>
      </c>
      <c r="AG40" s="3" t="str">
        <f>IF(DAY(AgoDom1)=1,IF(AND(YEAR(AgoDom1+32)=Año_Calendario,MONTH(AgoDom1+32)=8),AgoDom1+32,""),IF(AND(YEAR(AgoDom1+39)=Año_Calendario,MONTH(AgoDom1+39)=8),AgoDom1+39,""))</f>
        <v/>
      </c>
      <c r="AH40" s="3" t="str">
        <f>IF(DAY(AgoDom1)=1,IF(AND(YEAR(AgoDom1+33)=Año_Calendario,MONTH(AgoDom1+33)=8),AgoDom1+33,""),IF(AND(YEAR(AgoDom1+40)=Año_Calendario,MONTH(AgoDom1+40)=8),AgoDom1+40,""))</f>
        <v/>
      </c>
      <c r="AI40" s="3" t="str">
        <f>IF(DAY(AgoDom1)=1,IF(AND(YEAR(AgoDom1+34)=Año_Calendario,MONTH(AgoDom1+34)=8),AgoDom1+34,""),IF(AND(YEAR(AgoDom1+41)=Año_Calendario,MONTH(AgoDom1+41)=8),AgoDom1+41,""))</f>
        <v/>
      </c>
      <c r="AJ40" s="3" t="str">
        <f>IF(DAY(AgoDom1)=1,IF(AND(YEAR(AgoDom1+35)=Año_Calendario,MONTH(AgoDom1+35)=8),AgoDom1+35,""),IF(AND(YEAR(AgoDom1+42)=Año_Calendario,MONTH(AgoDom1+42)=8),AgoDom1+42,""))</f>
        <v/>
      </c>
    </row>
    <row r="41" spans="3:36">
      <c r="C41" s="5"/>
      <c r="D41" s="5"/>
      <c r="E41" s="5"/>
      <c r="F41" s="5"/>
      <c r="G41" s="5"/>
      <c r="H41" s="5"/>
      <c r="I41" s="5"/>
      <c r="J41" s="16"/>
      <c r="K41" s="3"/>
      <c r="L41" s="5"/>
      <c r="M41" s="5"/>
      <c r="N41" s="5"/>
      <c r="O41" s="5"/>
      <c r="P41" s="5"/>
      <c r="Q41" s="5"/>
      <c r="R41" s="5"/>
      <c r="S41" s="16"/>
      <c r="U41" s="3"/>
      <c r="V41" s="3"/>
      <c r="W41" s="3"/>
      <c r="X41" s="3"/>
      <c r="Y41" s="3"/>
      <c r="Z41" s="3"/>
      <c r="AA41" s="3"/>
      <c r="AB41" s="15"/>
      <c r="AC41" s="5"/>
      <c r="AD41" s="3"/>
      <c r="AE41" s="3"/>
      <c r="AF41" s="3"/>
      <c r="AG41" s="3"/>
      <c r="AH41" s="3"/>
      <c r="AI41" s="3"/>
      <c r="AJ41" s="3"/>
    </row>
    <row r="42" spans="3:36" ht="15.75">
      <c r="C42" s="39">
        <f>DATE(Año_Calendario,9,1)</f>
        <v>40787</v>
      </c>
      <c r="D42" s="39"/>
      <c r="E42" s="39"/>
      <c r="F42" s="39"/>
      <c r="G42" s="39"/>
      <c r="H42" s="39"/>
      <c r="I42" s="39"/>
      <c r="J42" s="13"/>
      <c r="K42" s="5"/>
      <c r="L42" s="39">
        <f>DATE(Año_Calendario,10,1)</f>
        <v>40817</v>
      </c>
      <c r="M42" s="39"/>
      <c r="N42" s="39"/>
      <c r="O42" s="39"/>
      <c r="P42" s="39"/>
      <c r="Q42" s="39"/>
      <c r="R42" s="39"/>
      <c r="S42" s="13"/>
      <c r="U42" s="39">
        <f>DATE(Año_Calendario,11,1)</f>
        <v>40848</v>
      </c>
      <c r="V42" s="39"/>
      <c r="W42" s="39"/>
      <c r="X42" s="39"/>
      <c r="Y42" s="39"/>
      <c r="Z42" s="39"/>
      <c r="AA42" s="39"/>
      <c r="AB42" s="13"/>
      <c r="AC42" s="5"/>
      <c r="AD42" s="39">
        <f>DATE(Año_Calendario,12,1)</f>
        <v>40878</v>
      </c>
      <c r="AE42" s="39"/>
      <c r="AF42" s="39"/>
      <c r="AG42" s="39"/>
      <c r="AH42" s="39"/>
      <c r="AI42" s="39"/>
      <c r="AJ42" s="39"/>
    </row>
    <row r="43" spans="3:36" ht="15">
      <c r="C43" s="12" t="s">
        <v>7</v>
      </c>
      <c r="D43" s="12" t="s">
        <v>1</v>
      </c>
      <c r="E43" s="12" t="s">
        <v>8</v>
      </c>
      <c r="F43" s="12" t="s">
        <v>10</v>
      </c>
      <c r="G43" s="12" t="s">
        <v>9</v>
      </c>
      <c r="H43" s="12" t="s">
        <v>0</v>
      </c>
      <c r="I43" s="12" t="s">
        <v>11</v>
      </c>
      <c r="J43" s="14"/>
      <c r="K43" s="5"/>
      <c r="L43" s="12" t="s">
        <v>7</v>
      </c>
      <c r="M43" s="12" t="s">
        <v>1</v>
      </c>
      <c r="N43" s="12" t="s">
        <v>8</v>
      </c>
      <c r="O43" s="12" t="s">
        <v>10</v>
      </c>
      <c r="P43" s="12" t="s">
        <v>9</v>
      </c>
      <c r="Q43" s="12" t="s">
        <v>0</v>
      </c>
      <c r="R43" s="12" t="s">
        <v>11</v>
      </c>
      <c r="S43" s="14"/>
      <c r="U43" s="12" t="s">
        <v>7</v>
      </c>
      <c r="V43" s="12" t="s">
        <v>1</v>
      </c>
      <c r="W43" s="12" t="s">
        <v>8</v>
      </c>
      <c r="X43" s="12" t="s">
        <v>10</v>
      </c>
      <c r="Y43" s="12" t="s">
        <v>9</v>
      </c>
      <c r="Z43" s="12" t="s">
        <v>0</v>
      </c>
      <c r="AA43" s="12" t="s">
        <v>11</v>
      </c>
      <c r="AB43" s="14"/>
      <c r="AC43" s="7"/>
      <c r="AD43" s="12" t="s">
        <v>7</v>
      </c>
      <c r="AE43" s="12" t="s">
        <v>1</v>
      </c>
      <c r="AF43" s="12" t="s">
        <v>8</v>
      </c>
      <c r="AG43" s="12" t="s">
        <v>10</v>
      </c>
      <c r="AH43" s="12" t="s">
        <v>9</v>
      </c>
      <c r="AI43" s="12" t="s">
        <v>0</v>
      </c>
      <c r="AJ43" s="12" t="s">
        <v>11</v>
      </c>
    </row>
    <row r="44" spans="3:36">
      <c r="C44" s="3" t="str">
        <f>IF(DAY(SepDom1)=1,"",IF(AND(YEAR(SepDom1+1)=Año_Calendario,MONTH(SepDom1+1)=9),SepDom1+1,""))</f>
        <v/>
      </c>
      <c r="D44" s="3" t="str">
        <f>IF(DAY(SepDom1)=1,"",IF(AND(YEAR(SepDom1+2)=Año_Calendario,MONTH(SepDom1+2)=9),SepDom1+2,""))</f>
        <v/>
      </c>
      <c r="E44" s="3" t="str">
        <f>IF(DAY(SepDom1)=1,"",IF(AND(YEAR(SepDom1+3)=Año_Calendario,MONTH(SepDom1+3)=9),SepDom1+3,""))</f>
        <v/>
      </c>
      <c r="F44" s="3">
        <f>IF(DAY(SepDom1)=1,"",IF(AND(YEAR(SepDom1+4)=Año_Calendario,MONTH(SepDom1+4)=9),SepDom1+4,""))</f>
        <v>40787</v>
      </c>
      <c r="G44" s="3">
        <f>IF(DAY(SepDom1)=1,"",IF(AND(YEAR(SepDom1+5)=Año_Calendario,MONTH(SepDom1+5)=9),SepDom1+5,""))</f>
        <v>40788</v>
      </c>
      <c r="H44" s="3">
        <f>IF(DAY(SepDom1)=1,"",IF(AND(YEAR(SepDom1+6)=Año_Calendario,MONTH(SepDom1+6)=9),SepDom1+6,""))</f>
        <v>40789</v>
      </c>
      <c r="I44" s="3">
        <f>IF(DAY(SepDom1)=1,IF(AND(YEAR(SepDom1)=Año_Calendario,MONTH(SepDom1)=9),SepDom1,""),IF(AND(YEAR(SepDom1+7)=Año_Calendario,MONTH(SepDom1+7)=9),SepDom1+7,""))</f>
        <v>40790</v>
      </c>
      <c r="J44" s="15"/>
      <c r="K44" s="5"/>
      <c r="L44" s="3" t="str">
        <f>IF(DAY(OctDom1)=1,"",IF(AND(YEAR(OctDom1+1)=Año_Calendario,MONTH(OctDom1+1)=10),OctDom1+1,""))</f>
        <v/>
      </c>
      <c r="M44" s="3" t="str">
        <f>IF(DAY(OctDom1)=1,"",IF(AND(YEAR(OctDom1+2)=Año_Calendario,MONTH(OctDom1+2)=10),OctDom1+2,""))</f>
        <v/>
      </c>
      <c r="N44" s="3" t="str">
        <f>IF(DAY(OctDom1)=1,"",IF(AND(YEAR(OctDom1+3)=Año_Calendario,MONTH(OctDom1+3)=10),OctDom1+3,""))</f>
        <v/>
      </c>
      <c r="O44" s="3" t="str">
        <f>IF(DAY(OctDom1)=1,"",IF(AND(YEAR(OctDom1+4)=Año_Calendario,MONTH(OctDom1+4)=10),OctDom1+4,""))</f>
        <v/>
      </c>
      <c r="P44" s="3" t="str">
        <f>IF(DAY(OctDom1)=1,"",IF(AND(YEAR(OctDom1+5)=Año_Calendario,MONTH(OctDom1+5)=10),OctDom1+5,""))</f>
        <v/>
      </c>
      <c r="Q44" s="3">
        <f>IF(DAY(OctDom1)=1,"",IF(AND(YEAR(OctDom1+6)=Año_Calendario,MONTH(OctDom1+6)=10),OctDom1+6,""))</f>
        <v>40817</v>
      </c>
      <c r="R44" s="3">
        <f>IF(DAY(OctDom1)=1,IF(AND(YEAR(OctDom1)=Año_Calendario,MONTH(OctDom1)=10),OctDom1,""),IF(AND(YEAR(OctDom1+7)=Año_Calendario,MONTH(OctDom1+7)=10),OctDom1+7,""))</f>
        <v>40818</v>
      </c>
      <c r="S44" s="15"/>
      <c r="U44" s="3" t="str">
        <f>IF(DAY(NovDom1)=1,"",IF(AND(YEAR(NovDom1+1)=Año_Calendario,MONTH(NovDom1+1)=11),NovDom1+1,""))</f>
        <v/>
      </c>
      <c r="V44" s="3">
        <f>IF(DAY(NovDom1)=1,"",IF(AND(YEAR(NovDom1+2)=Año_Calendario,MONTH(NovDom1+2)=11),NovDom1+2,""))</f>
        <v>40848</v>
      </c>
      <c r="W44" s="3">
        <f>IF(DAY(NovDom1)=1,"",IF(AND(YEAR(NovDom1+3)=Año_Calendario,MONTH(NovDom1+3)=11),NovDom1+3,""))</f>
        <v>40849</v>
      </c>
      <c r="X44" s="3">
        <f>IF(DAY(NovDom1)=1,"",IF(AND(YEAR(NovDom1+4)=Año_Calendario,MONTH(NovDom1+4)=11),NovDom1+4,""))</f>
        <v>40850</v>
      </c>
      <c r="Y44" s="3">
        <f>IF(DAY(NovDom1)=1,"",IF(AND(YEAR(NovDom1+5)=Año_Calendario,MONTH(NovDom1+5)=11),NovDom1+5,""))</f>
        <v>40851</v>
      </c>
      <c r="Z44" s="3">
        <f>IF(DAY(NovDom1)=1,"",IF(AND(YEAR(NovDom1+6)=Año_Calendario,MONTH(NovDom1+6)=11),NovDom1+6,""))</f>
        <v>40852</v>
      </c>
      <c r="AA44" s="3">
        <f>IF(DAY(NovDom1)=1,IF(AND(YEAR(NovDom1)=Año_Calendario,MONTH(NovDom1)=11),NovDom1,""),IF(AND(YEAR(NovDom1+7)=Año_Calendario,MONTH(NovDom1+7)=11),NovDom1+7,""))</f>
        <v>40853</v>
      </c>
      <c r="AB44" s="15"/>
      <c r="AC44" s="5"/>
      <c r="AD44" s="3" t="str">
        <f>IF(DAY(DicDom1)=1,"",IF(AND(YEAR(DicDom1+1)=Año_Calendario,MONTH(DicDom1+1)=12),DicDom1+1,""))</f>
        <v/>
      </c>
      <c r="AE44" s="3" t="str">
        <f>IF(DAY(DicDom1)=1,"",IF(AND(YEAR(DicDom1+2)=Año_Calendario,MONTH(DicDom1+2)=12),DicDom1+2,""))</f>
        <v/>
      </c>
      <c r="AF44" s="3" t="str">
        <f>IF(DAY(DicDom1)=1,"",IF(AND(YEAR(DicDom1+3)=Año_Calendario,MONTH(DicDom1+3)=12),DicDom1+3,""))</f>
        <v/>
      </c>
      <c r="AG44" s="3">
        <f>IF(DAY(DicDom1)=1,"",IF(AND(YEAR(DicDom1+4)=Año_Calendario,MONTH(DicDom1+4)=12),DicDom1+4,""))</f>
        <v>40878</v>
      </c>
      <c r="AH44" s="3">
        <f>IF(DAY(DicDom1)=1,"",IF(AND(YEAR(DicDom1+5)=Año_Calendario,MONTH(DicDom1+5)=12),DicDom1+5,""))</f>
        <v>40879</v>
      </c>
      <c r="AI44" s="3">
        <f>IF(DAY(DicDom1)=1,"",IF(AND(YEAR(DicDom1+6)=Año_Calendario,MONTH(DicDom1+6)=12),DicDom1+6,""))</f>
        <v>40880</v>
      </c>
      <c r="AJ44" s="3">
        <f>IF(DAY(DicDom1)=1,IF(AND(YEAR(DicDom1)=Año_Calendario,MONTH(DicDom1)=12),DicDom1,""),IF(AND(YEAR(DicDom1+7)=Año_Calendario,MONTH(DicDom1+7)=12),DicDom1+7,""))</f>
        <v>40881</v>
      </c>
    </row>
    <row r="45" spans="3:36">
      <c r="C45" s="3">
        <f>IF(DAY(SepDom1)=1,IF(AND(YEAR(SepDom1+1)=Año_Calendario,MONTH(SepDom1+1)=9),SepDom1+1,""),IF(AND(YEAR(SepDom1+8)=Año_Calendario,MONTH(SepDom1+8)=9),SepDom1+8,""))</f>
        <v>40791</v>
      </c>
      <c r="D45" s="3">
        <f>IF(DAY(SepDom1)=1,IF(AND(YEAR(SepDom1+2)=Año_Calendario,MONTH(SepDom1+2)=9),SepDom1+2,""),IF(AND(YEAR(SepDom1+9)=Año_Calendario,MONTH(SepDom1+9)=9),SepDom1+9,""))</f>
        <v>40792</v>
      </c>
      <c r="E45" s="3">
        <f>IF(DAY(SepDom1)=1,IF(AND(YEAR(SepDom1+3)=Año_Calendario,MONTH(SepDom1+3)=9),SepDom1+3,""),IF(AND(YEAR(SepDom1+10)=Año_Calendario,MONTH(SepDom1+10)=9),SepDom1+10,""))</f>
        <v>40793</v>
      </c>
      <c r="F45" s="3">
        <f>IF(DAY(SepDom1)=1,IF(AND(YEAR(SepDom1+4)=Año_Calendario,MONTH(SepDom1+4)=9),SepDom1+4,""),IF(AND(YEAR(SepDom1+11)=Año_Calendario,MONTH(SepDom1+11)=9),SepDom1+11,""))</f>
        <v>40794</v>
      </c>
      <c r="G45" s="3">
        <f>IF(DAY(SepDom1)=1,IF(AND(YEAR(SepDom1+5)=Año_Calendario,MONTH(SepDom1+5)=9),SepDom1+5,""),IF(AND(YEAR(SepDom1+12)=Año_Calendario,MONTH(SepDom1+12)=9),SepDom1+12,""))</f>
        <v>40795</v>
      </c>
      <c r="H45" s="3">
        <f>IF(DAY(SepDom1)=1,IF(AND(YEAR(SepDom1+6)=Año_Calendario,MONTH(SepDom1+6)=9),SepDom1+6,""),IF(AND(YEAR(SepDom1+13)=Año_Calendario,MONTH(SepDom1+13)=9),SepDom1+13,""))</f>
        <v>40796</v>
      </c>
      <c r="I45" s="3">
        <f>IF(DAY(SepDom1)=1,IF(AND(YEAR(SepDom1+7)=Año_Calendario,MONTH(SepDom1+7)=9),SepDom1+7,""),IF(AND(YEAR(SepDom1+14)=Año_Calendario,MONTH(SepDom1+14)=9),SepDom1+14,""))</f>
        <v>40797</v>
      </c>
      <c r="J45" s="15"/>
      <c r="K45" s="5"/>
      <c r="L45" s="3">
        <f>IF(DAY(OctDom1)=1,IF(AND(YEAR(OctDom1+1)=Año_Calendario,MONTH(OctDom1+1)=10),OctDom1+1,""),IF(AND(YEAR(OctDom1+8)=Año_Calendario,MONTH(OctDom1+8)=10),OctDom1+8,""))</f>
        <v>40819</v>
      </c>
      <c r="M45" s="3">
        <f>IF(DAY(OctDom1)=1,IF(AND(YEAR(OctDom1+2)=Año_Calendario,MONTH(OctDom1+2)=10),OctDom1+2,""),IF(AND(YEAR(OctDom1+9)=Año_Calendario,MONTH(OctDom1+9)=10),OctDom1+9,""))</f>
        <v>40820</v>
      </c>
      <c r="N45" s="3">
        <f>IF(DAY(OctDom1)=1,IF(AND(YEAR(OctDom1+3)=Año_Calendario,MONTH(OctDom1+3)=10),OctDom1+3,""),IF(AND(YEAR(OctDom1+10)=Año_Calendario,MONTH(OctDom1+10)=10),OctDom1+10,""))</f>
        <v>40821</v>
      </c>
      <c r="O45" s="3">
        <f>IF(DAY(OctDom1)=1,IF(AND(YEAR(OctDom1+4)=Año_Calendario,MONTH(OctDom1+4)=10),OctDom1+4,""),IF(AND(YEAR(OctDom1+11)=Año_Calendario,MONTH(OctDom1+11)=10),OctDom1+11,""))</f>
        <v>40822</v>
      </c>
      <c r="P45" s="3">
        <f>IF(DAY(OctDom1)=1,IF(AND(YEAR(OctDom1+5)=Año_Calendario,MONTH(OctDom1+5)=10),OctDom1+5,""),IF(AND(YEAR(OctDom1+12)=Año_Calendario,MONTH(OctDom1+12)=10),OctDom1+12,""))</f>
        <v>40823</v>
      </c>
      <c r="Q45" s="3">
        <f>IF(DAY(OctDom1)=1,IF(AND(YEAR(OctDom1+6)=Año_Calendario,MONTH(OctDom1+6)=10),OctDom1+6,""),IF(AND(YEAR(OctDom1+13)=Año_Calendario,MONTH(OctDom1+13)=10),OctDom1+13,""))</f>
        <v>40824</v>
      </c>
      <c r="R45" s="3">
        <f>IF(DAY(OctDom1)=1,IF(AND(YEAR(OctDom1+7)=Año_Calendario,MONTH(OctDom1+7)=10),OctDom1+7,""),IF(AND(YEAR(OctDom1+14)=Año_Calendario,MONTH(OctDom1+14)=10),OctDom1+14,""))</f>
        <v>40825</v>
      </c>
      <c r="S45" s="15"/>
      <c r="U45" s="3">
        <f>IF(DAY(NovDom1)=1,IF(AND(YEAR(NovDom1+1)=Año_Calendario,MONTH(NovDom1+1)=11),NovDom1+1,""),IF(AND(YEAR(NovDom1+8)=Año_Calendario,MONTH(NovDom1+8)=11),NovDom1+8,""))</f>
        <v>40854</v>
      </c>
      <c r="V45" s="3">
        <f>IF(DAY(NovDom1)=1,IF(AND(YEAR(NovDom1+2)=Año_Calendario,MONTH(NovDom1+2)=11),NovDom1+2,""),IF(AND(YEAR(NovDom1+9)=Año_Calendario,MONTH(NovDom1+9)=11),NovDom1+9,""))</f>
        <v>40855</v>
      </c>
      <c r="W45" s="3">
        <f>IF(DAY(NovDom1)=1,IF(AND(YEAR(NovDom1+3)=Año_Calendario,MONTH(NovDom1+3)=11),NovDom1+3,""),IF(AND(YEAR(NovDom1+10)=Año_Calendario,MONTH(NovDom1+10)=11),NovDom1+10,""))</f>
        <v>40856</v>
      </c>
      <c r="X45" s="3">
        <f>IF(DAY(NovDom1)=1,IF(AND(YEAR(NovDom1+4)=Año_Calendario,MONTH(NovDom1+4)=11),NovDom1+4,""),IF(AND(YEAR(NovDom1+11)=Año_Calendario,MONTH(NovDom1+11)=11),NovDom1+11,""))</f>
        <v>40857</v>
      </c>
      <c r="Y45" s="3">
        <f>IF(DAY(NovDom1)=1,IF(AND(YEAR(NovDom1+5)=Año_Calendario,MONTH(NovDom1+5)=11),NovDom1+5,""),IF(AND(YEAR(NovDom1+12)=Año_Calendario,MONTH(NovDom1+12)=11),NovDom1+12,""))</f>
        <v>40858</v>
      </c>
      <c r="Z45" s="3">
        <f>IF(DAY(NovDom1)=1,IF(AND(YEAR(NovDom1+6)=Año_Calendario,MONTH(NovDom1+6)=11),NovDom1+6,""),IF(AND(YEAR(NovDom1+13)=Año_Calendario,MONTH(NovDom1+13)=11),NovDom1+13,""))</f>
        <v>40859</v>
      </c>
      <c r="AA45" s="3">
        <f>IF(DAY(NovDom1)=1,IF(AND(YEAR(NovDom1+7)=Año_Calendario,MONTH(NovDom1+7)=11),NovDom1+7,""),IF(AND(YEAR(NovDom1+14)=Año_Calendario,MONTH(NovDom1+14)=11),NovDom1+14,""))</f>
        <v>40860</v>
      </c>
      <c r="AB45" s="15"/>
      <c r="AC45" s="5"/>
      <c r="AD45" s="3">
        <f>IF(DAY(DicDom1)=1,IF(AND(YEAR(DicDom1+1)=Año_Calendario,MONTH(DicDom1+1)=12),DicDom1+1,""),IF(AND(YEAR(DicDom1+8)=Año_Calendario,MONTH(DicDom1+8)=12),DicDom1+8,""))</f>
        <v>40882</v>
      </c>
      <c r="AE45" s="3">
        <f>IF(DAY(DicDom1)=1,IF(AND(YEAR(DicDom1+2)=Año_Calendario,MONTH(DicDom1+2)=12),DicDom1+2,""),IF(AND(YEAR(DicDom1+9)=Año_Calendario,MONTH(DicDom1+9)=12),DicDom1+9,""))</f>
        <v>40883</v>
      </c>
      <c r="AF45" s="3">
        <f>IF(DAY(DicDom1)=1,IF(AND(YEAR(DicDom1+3)=Año_Calendario,MONTH(DicDom1+3)=12),DicDom1+3,""),IF(AND(YEAR(DicDom1+10)=Año_Calendario,MONTH(DicDom1+10)=12),DicDom1+10,""))</f>
        <v>40884</v>
      </c>
      <c r="AG45" s="3">
        <f>IF(DAY(DicDom1)=1,IF(AND(YEAR(DicDom1+4)=Año_Calendario,MONTH(DicDom1+4)=12),DicDom1+4,""),IF(AND(YEAR(DicDom1+11)=Año_Calendario,MONTH(DicDom1+11)=12),DicDom1+11,""))</f>
        <v>40885</v>
      </c>
      <c r="AH45" s="3">
        <f>IF(DAY(DicDom1)=1,IF(AND(YEAR(DicDom1+5)=Año_Calendario,MONTH(DicDom1+5)=12),DicDom1+5,""),IF(AND(YEAR(DicDom1+12)=Año_Calendario,MONTH(DicDom1+12)=12),DicDom1+12,""))</f>
        <v>40886</v>
      </c>
      <c r="AI45" s="3">
        <f>IF(DAY(DicDom1)=1,IF(AND(YEAR(DicDom1+6)=Año_Calendario,MONTH(DicDom1+6)=12),DicDom1+6,""),IF(AND(YEAR(DicDom1+13)=Año_Calendario,MONTH(DicDom1+13)=12),DicDom1+13,""))</f>
        <v>40887</v>
      </c>
      <c r="AJ45" s="3">
        <f>IF(DAY(DicDom1)=1,IF(AND(YEAR(DicDom1+7)=Año_Calendario,MONTH(DicDom1+7)=12),DicDom1+7,""),IF(AND(YEAR(DicDom1+14)=Año_Calendario,MONTH(DicDom1+14)=12),DicDom1+14,""))</f>
        <v>40888</v>
      </c>
    </row>
    <row r="46" spans="3:36">
      <c r="C46" s="3">
        <f>IF(DAY(SepDom1)=1,IF(AND(YEAR(SepDom1+8)=Año_Calendario,MONTH(SepDom1+8)=9),SepDom1+8,""),IF(AND(YEAR(SepDom1+15)=Año_Calendario,MONTH(SepDom1+15)=9),SepDom1+15,""))</f>
        <v>40798</v>
      </c>
      <c r="D46" s="3">
        <f>IF(DAY(SepDom1)=1,IF(AND(YEAR(SepDom1+9)=Año_Calendario,MONTH(SepDom1+9)=9),SepDom1+9,""),IF(AND(YEAR(SepDom1+16)=Año_Calendario,MONTH(SepDom1+16)=9),SepDom1+16,""))</f>
        <v>40799</v>
      </c>
      <c r="E46" s="3">
        <f>IF(DAY(SepDom1)=1,IF(AND(YEAR(SepDom1+10)=Año_Calendario,MONTH(SepDom1+10)=9),SepDom1+10,""),IF(AND(YEAR(SepDom1+17)=Año_Calendario,MONTH(SepDom1+17)=9),SepDom1+17,""))</f>
        <v>40800</v>
      </c>
      <c r="F46" s="3">
        <f>IF(DAY(SepDom1)=1,IF(AND(YEAR(SepDom1+11)=Año_Calendario,MONTH(SepDom1+11)=9),SepDom1+11,""),IF(AND(YEAR(SepDom1+18)=Año_Calendario,MONTH(SepDom1+18)=9),SepDom1+18,""))</f>
        <v>40801</v>
      </c>
      <c r="G46" s="3">
        <f>IF(DAY(SepDom1)=1,IF(AND(YEAR(SepDom1+12)=Año_Calendario,MONTH(SepDom1+12)=9),SepDom1+12,""),IF(AND(YEAR(SepDom1+19)=Año_Calendario,MONTH(SepDom1+19)=9),SepDom1+19,""))</f>
        <v>40802</v>
      </c>
      <c r="H46" s="3">
        <f>IF(DAY(SepDom1)=1,IF(AND(YEAR(SepDom1+13)=Año_Calendario,MONTH(SepDom1+13)=9),SepDom1+13,""),IF(AND(YEAR(SepDom1+20)=Año_Calendario,MONTH(SepDom1+20)=9),SepDom1+20,""))</f>
        <v>40803</v>
      </c>
      <c r="I46" s="3">
        <f>IF(DAY(SepDom1)=1,IF(AND(YEAR(SepDom1+14)=Año_Calendario,MONTH(SepDom1+14)=9),SepDom1+14,""),IF(AND(YEAR(SepDom1+21)=Año_Calendario,MONTH(SepDom1+21)=9),SepDom1+21,""))</f>
        <v>40804</v>
      </c>
      <c r="J46" s="15"/>
      <c r="K46" s="5"/>
      <c r="L46" s="3">
        <f>IF(DAY(OctDom1)=1,IF(AND(YEAR(OctDom1+8)=Año_Calendario,MONTH(OctDom1+8)=10),OctDom1+8,""),IF(AND(YEAR(OctDom1+15)=Año_Calendario,MONTH(OctDom1+15)=10),OctDom1+15,""))</f>
        <v>40826</v>
      </c>
      <c r="M46" s="3">
        <f>IF(DAY(OctDom1)=1,IF(AND(YEAR(OctDom1+9)=Año_Calendario,MONTH(OctDom1+9)=10),OctDom1+9,""),IF(AND(YEAR(OctDom1+16)=Año_Calendario,MONTH(OctDom1+16)=10),OctDom1+16,""))</f>
        <v>40827</v>
      </c>
      <c r="N46" s="3">
        <f>IF(DAY(OctDom1)=1,IF(AND(YEAR(OctDom1+10)=Año_Calendario,MONTH(OctDom1+10)=10),OctDom1+10,""),IF(AND(YEAR(OctDom1+17)=Año_Calendario,MONTH(OctDom1+17)=10),OctDom1+17,""))</f>
        <v>40828</v>
      </c>
      <c r="O46" s="3">
        <f>IF(DAY(OctDom1)=1,IF(AND(YEAR(OctDom1+11)=Año_Calendario,MONTH(OctDom1+11)=10),OctDom1+11,""),IF(AND(YEAR(OctDom1+18)=Año_Calendario,MONTH(OctDom1+18)=10),OctDom1+18,""))</f>
        <v>40829</v>
      </c>
      <c r="P46" s="3">
        <f>IF(DAY(OctDom1)=1,IF(AND(YEAR(OctDom1+12)=Año_Calendario,MONTH(OctDom1+12)=10),OctDom1+12,""),IF(AND(YEAR(OctDom1+19)=Año_Calendario,MONTH(OctDom1+19)=10),OctDom1+19,""))</f>
        <v>40830</v>
      </c>
      <c r="Q46" s="3">
        <f>IF(DAY(OctDom1)=1,IF(AND(YEAR(OctDom1+13)=Año_Calendario,MONTH(OctDom1+13)=10),OctDom1+13,""),IF(AND(YEAR(OctDom1+20)=Año_Calendario,MONTH(OctDom1+20)=10),OctDom1+20,""))</f>
        <v>40831</v>
      </c>
      <c r="R46" s="3">
        <f>IF(DAY(OctDom1)=1,IF(AND(YEAR(OctDom1+14)=Año_Calendario,MONTH(OctDom1+14)=10),OctDom1+14,""),IF(AND(YEAR(OctDom1+21)=Año_Calendario,MONTH(OctDom1+21)=10),OctDom1+21,""))</f>
        <v>40832</v>
      </c>
      <c r="S46" s="15"/>
      <c r="U46" s="3">
        <f>IF(DAY(NovDom1)=1,IF(AND(YEAR(NovDom1+8)=Año_Calendario,MONTH(NovDom1+8)=11),NovDom1+8,""),IF(AND(YEAR(NovDom1+15)=Año_Calendario,MONTH(NovDom1+15)=11),NovDom1+15,""))</f>
        <v>40861</v>
      </c>
      <c r="V46" s="3">
        <f>IF(DAY(NovDom1)=1,IF(AND(YEAR(NovDom1+9)=Año_Calendario,MONTH(NovDom1+9)=11),NovDom1+9,""),IF(AND(YEAR(NovDom1+16)=Año_Calendario,MONTH(NovDom1+16)=11),NovDom1+16,""))</f>
        <v>40862</v>
      </c>
      <c r="W46" s="3">
        <f>IF(DAY(NovDom1)=1,IF(AND(YEAR(NovDom1+10)=Año_Calendario,MONTH(NovDom1+10)=11),NovDom1+10,""),IF(AND(YEAR(NovDom1+17)=Año_Calendario,MONTH(NovDom1+17)=11),NovDom1+17,""))</f>
        <v>40863</v>
      </c>
      <c r="X46" s="3">
        <f>IF(DAY(NovDom1)=1,IF(AND(YEAR(NovDom1+11)=Año_Calendario,MONTH(NovDom1+11)=11),NovDom1+11,""),IF(AND(YEAR(NovDom1+18)=Año_Calendario,MONTH(NovDom1+18)=11),NovDom1+18,""))</f>
        <v>40864</v>
      </c>
      <c r="Y46" s="3">
        <f>IF(DAY(NovDom1)=1,IF(AND(YEAR(NovDom1+12)=Año_Calendario,MONTH(NovDom1+12)=11),NovDom1+12,""),IF(AND(YEAR(NovDom1+19)=Año_Calendario,MONTH(NovDom1+19)=11),NovDom1+19,""))</f>
        <v>40865</v>
      </c>
      <c r="Z46" s="3">
        <f>IF(DAY(NovDom1)=1,IF(AND(YEAR(NovDom1+13)=Año_Calendario,MONTH(NovDom1+13)=11),NovDom1+13,""),IF(AND(YEAR(NovDom1+20)=Año_Calendario,MONTH(NovDom1+20)=11),NovDom1+20,""))</f>
        <v>40866</v>
      </c>
      <c r="AA46" s="3">
        <f>IF(DAY(NovDom1)=1,IF(AND(YEAR(NovDom1+14)=Año_Calendario,MONTH(NovDom1+14)=11),NovDom1+14,""),IF(AND(YEAR(NovDom1+21)=Año_Calendario,MONTH(NovDom1+21)=11),NovDom1+21,""))</f>
        <v>40867</v>
      </c>
      <c r="AB46" s="15"/>
      <c r="AC46" s="5"/>
      <c r="AD46" s="3">
        <f>IF(DAY(DicDom1)=1,IF(AND(YEAR(DicDom1+8)=Año_Calendario,MONTH(DicDom1+8)=12),DicDom1+8,""),IF(AND(YEAR(DicDom1+15)=Año_Calendario,MONTH(DicDom1+15)=12),DicDom1+15,""))</f>
        <v>40889</v>
      </c>
      <c r="AE46" s="3">
        <f>IF(DAY(DicDom1)=1,IF(AND(YEAR(DicDom1+9)=Año_Calendario,MONTH(DicDom1+9)=12),DicDom1+9,""),IF(AND(YEAR(DicDom1+16)=Año_Calendario,MONTH(DicDom1+16)=12),DicDom1+16,""))</f>
        <v>40890</v>
      </c>
      <c r="AF46" s="3">
        <f>IF(DAY(DicDom1)=1,IF(AND(YEAR(DicDom1+10)=Año_Calendario,MONTH(DicDom1+10)=12),DicDom1+10,""),IF(AND(YEAR(DicDom1+17)=Año_Calendario,MONTH(DicDom1+17)=12),DicDom1+17,""))</f>
        <v>40891</v>
      </c>
      <c r="AG46" s="3">
        <f>IF(DAY(DicDom1)=1,IF(AND(YEAR(DicDom1+11)=Año_Calendario,MONTH(DicDom1+11)=12),DicDom1+11,""),IF(AND(YEAR(DicDom1+18)=Año_Calendario,MONTH(DicDom1+18)=12),DicDom1+18,""))</f>
        <v>40892</v>
      </c>
      <c r="AH46" s="3">
        <f>IF(DAY(DicDom1)=1,IF(AND(YEAR(DicDom1+12)=Año_Calendario,MONTH(DicDom1+12)=12),DicDom1+12,""),IF(AND(YEAR(DicDom1+19)=Año_Calendario,MONTH(DicDom1+19)=12),DicDom1+19,""))</f>
        <v>40893</v>
      </c>
      <c r="AI46" s="3">
        <f>IF(DAY(DicDom1)=1,IF(AND(YEAR(DicDom1+13)=Año_Calendario,MONTH(DicDom1+13)=12),DicDom1+13,""),IF(AND(YEAR(DicDom1+20)=Año_Calendario,MONTH(DicDom1+20)=12),DicDom1+20,""))</f>
        <v>40894</v>
      </c>
      <c r="AJ46" s="3">
        <f>IF(DAY(DicDom1)=1,IF(AND(YEAR(DicDom1+14)=Año_Calendario,MONTH(DicDom1+14)=12),DicDom1+14,""),IF(AND(YEAR(DicDom1+21)=Año_Calendario,MONTH(DicDom1+21)=12),DicDom1+21,""))</f>
        <v>40895</v>
      </c>
    </row>
    <row r="47" spans="3:36">
      <c r="C47" s="3">
        <f>IF(DAY(SepDom1)=1,IF(AND(YEAR(SepDom1+15)=Año_Calendario,MONTH(SepDom1+15)=9),SepDom1+15,""),IF(AND(YEAR(SepDom1+22)=Año_Calendario,MONTH(SepDom1+22)=9),SepDom1+22,""))</f>
        <v>40805</v>
      </c>
      <c r="D47" s="3">
        <f>IF(DAY(SepDom1)=1,IF(AND(YEAR(SepDom1+16)=Año_Calendario,MONTH(SepDom1+16)=9),SepDom1+16,""),IF(AND(YEAR(SepDom1+23)=Año_Calendario,MONTH(SepDom1+23)=9),SepDom1+23,""))</f>
        <v>40806</v>
      </c>
      <c r="E47" s="3">
        <f>IF(DAY(SepDom1)=1,IF(AND(YEAR(SepDom1+17)=Año_Calendario,MONTH(SepDom1+17)=9),SepDom1+17,""),IF(AND(YEAR(SepDom1+24)=Año_Calendario,MONTH(SepDom1+24)=9),SepDom1+24,""))</f>
        <v>40807</v>
      </c>
      <c r="F47" s="3">
        <f>IF(DAY(SepDom1)=1,IF(AND(YEAR(SepDom1+18)=Año_Calendario,MONTH(SepDom1+18)=9),SepDom1+18,""),IF(AND(YEAR(SepDom1+25)=Año_Calendario,MONTH(SepDom1+25)=9),SepDom1+25,""))</f>
        <v>40808</v>
      </c>
      <c r="G47" s="3">
        <f>IF(DAY(SepDom1)=1,IF(AND(YEAR(SepDom1+19)=Año_Calendario,MONTH(SepDom1+19)=9),SepDom1+19,""),IF(AND(YEAR(SepDom1+26)=Año_Calendario,MONTH(SepDom1+26)=9),SepDom1+26,""))</f>
        <v>40809</v>
      </c>
      <c r="H47" s="3">
        <f>IF(DAY(SepDom1)=1,IF(AND(YEAR(SepDom1+20)=Año_Calendario,MONTH(SepDom1+20)=9),SepDom1+20,""),IF(AND(YEAR(SepDom1+27)=Año_Calendario,MONTH(SepDom1+27)=9),SepDom1+27,""))</f>
        <v>40810</v>
      </c>
      <c r="I47" s="3">
        <f>IF(DAY(SepDom1)=1,IF(AND(YEAR(SepDom1+21)=Año_Calendario,MONTH(SepDom1+21)=9),SepDom1+21,""),IF(AND(YEAR(SepDom1+28)=Año_Calendario,MONTH(SepDom1+28)=9),SepDom1+28,""))</f>
        <v>40811</v>
      </c>
      <c r="J47" s="15"/>
      <c r="K47" s="5"/>
      <c r="L47" s="3">
        <f>IF(DAY(OctDom1)=1,IF(AND(YEAR(OctDom1+15)=Año_Calendario,MONTH(OctDom1+15)=10),OctDom1+15,""),IF(AND(YEAR(OctDom1+22)=Año_Calendario,MONTH(OctDom1+22)=10),OctDom1+22,""))</f>
        <v>40833</v>
      </c>
      <c r="M47" s="3">
        <f>IF(DAY(OctDom1)=1,IF(AND(YEAR(OctDom1+16)=Año_Calendario,MONTH(OctDom1+16)=10),OctDom1+16,""),IF(AND(YEAR(OctDom1+23)=Año_Calendario,MONTH(OctDom1+23)=10),OctDom1+23,""))</f>
        <v>40834</v>
      </c>
      <c r="N47" s="3">
        <f>IF(DAY(OctDom1)=1,IF(AND(YEAR(OctDom1+17)=Año_Calendario,MONTH(OctDom1+17)=10),OctDom1+17,""),IF(AND(YEAR(OctDom1+24)=Año_Calendario,MONTH(OctDom1+24)=10),OctDom1+24,""))</f>
        <v>40835</v>
      </c>
      <c r="O47" s="3">
        <f>IF(DAY(OctDom1)=1,IF(AND(YEAR(OctDom1+18)=Año_Calendario,MONTH(OctDom1+18)=10),OctDom1+18,""),IF(AND(YEAR(OctDom1+25)=Año_Calendario,MONTH(OctDom1+25)=10),OctDom1+25,""))</f>
        <v>40836</v>
      </c>
      <c r="P47" s="3">
        <f>IF(DAY(OctDom1)=1,IF(AND(YEAR(OctDom1+19)=Año_Calendario,MONTH(OctDom1+19)=10),OctDom1+19,""),IF(AND(YEAR(OctDom1+26)=Año_Calendario,MONTH(OctDom1+26)=10),OctDom1+26,""))</f>
        <v>40837</v>
      </c>
      <c r="Q47" s="3">
        <f>IF(DAY(OctDom1)=1,IF(AND(YEAR(OctDom1+20)=Año_Calendario,MONTH(OctDom1+20)=10),OctDom1+20,""),IF(AND(YEAR(OctDom1+27)=Año_Calendario,MONTH(OctDom1+27)=10),OctDom1+27,""))</f>
        <v>40838</v>
      </c>
      <c r="R47" s="3">
        <f>IF(DAY(OctDom1)=1,IF(AND(YEAR(OctDom1+21)=Año_Calendario,MONTH(OctDom1+21)=10),OctDom1+21,""),IF(AND(YEAR(OctDom1+28)=Año_Calendario,MONTH(OctDom1+28)=10),OctDom1+28,""))</f>
        <v>40839</v>
      </c>
      <c r="S47" s="15"/>
      <c r="U47" s="3">
        <f>IF(DAY(NovDom1)=1,IF(AND(YEAR(NovDom1+15)=Año_Calendario,MONTH(NovDom1+15)=11),NovDom1+15,""),IF(AND(YEAR(NovDom1+22)=Año_Calendario,MONTH(NovDom1+22)=11),NovDom1+22,""))</f>
        <v>40868</v>
      </c>
      <c r="V47" s="3">
        <f>IF(DAY(NovDom1)=1,IF(AND(YEAR(NovDom1+16)=Año_Calendario,MONTH(NovDom1+16)=11),NovDom1+16,""),IF(AND(YEAR(NovDom1+23)=Año_Calendario,MONTH(NovDom1+23)=11),NovDom1+23,""))</f>
        <v>40869</v>
      </c>
      <c r="W47" s="3">
        <f>IF(DAY(NovDom1)=1,IF(AND(YEAR(NovDom1+17)=Año_Calendario,MONTH(NovDom1+17)=11),NovDom1+17,""),IF(AND(YEAR(NovDom1+24)=Año_Calendario,MONTH(NovDom1+24)=11),NovDom1+24,""))</f>
        <v>40870</v>
      </c>
      <c r="X47" s="3">
        <f>IF(DAY(NovDom1)=1,IF(AND(YEAR(NovDom1+18)=Año_Calendario,MONTH(NovDom1+18)=11),NovDom1+18,""),IF(AND(YEAR(NovDom1+25)=Año_Calendario,MONTH(NovDom1+25)=11),NovDom1+25,""))</f>
        <v>40871</v>
      </c>
      <c r="Y47" s="3">
        <f>IF(DAY(NovDom1)=1,IF(AND(YEAR(NovDom1+19)=Año_Calendario,MONTH(NovDom1+19)=11),NovDom1+19,""),IF(AND(YEAR(NovDom1+26)=Año_Calendario,MONTH(NovDom1+26)=11),NovDom1+26,""))</f>
        <v>40872</v>
      </c>
      <c r="Z47" s="3">
        <f>IF(DAY(NovDom1)=1,IF(AND(YEAR(NovDom1+20)=Año_Calendario,MONTH(NovDom1+20)=11),NovDom1+20,""),IF(AND(YEAR(NovDom1+27)=Año_Calendario,MONTH(NovDom1+27)=11),NovDom1+27,""))</f>
        <v>40873</v>
      </c>
      <c r="AA47" s="3">
        <f>IF(DAY(NovDom1)=1,IF(AND(YEAR(NovDom1+21)=Año_Calendario,MONTH(NovDom1+21)=11),NovDom1+21,""),IF(AND(YEAR(NovDom1+28)=Año_Calendario,MONTH(NovDom1+28)=11),NovDom1+28,""))</f>
        <v>40874</v>
      </c>
      <c r="AB47" s="15"/>
      <c r="AC47" s="5"/>
      <c r="AD47" s="3">
        <f>IF(DAY(DicDom1)=1,IF(AND(YEAR(DicDom1+15)=Año_Calendario,MONTH(DicDom1+15)=12),DicDom1+15,""),IF(AND(YEAR(DicDom1+22)=Año_Calendario,MONTH(DicDom1+22)=12),DicDom1+22,""))</f>
        <v>40896</v>
      </c>
      <c r="AE47" s="3">
        <f>IF(DAY(DicDom1)=1,IF(AND(YEAR(DicDom1+16)=Año_Calendario,MONTH(DicDom1+16)=12),DicDom1+16,""),IF(AND(YEAR(DicDom1+23)=Año_Calendario,MONTH(DicDom1+23)=12),DicDom1+23,""))</f>
        <v>40897</v>
      </c>
      <c r="AF47" s="3">
        <f>IF(DAY(DicDom1)=1,IF(AND(YEAR(DicDom1+17)=Año_Calendario,MONTH(DicDom1+17)=12),DicDom1+17,""),IF(AND(YEAR(DicDom1+24)=Año_Calendario,MONTH(DicDom1+24)=12),DicDom1+24,""))</f>
        <v>40898</v>
      </c>
      <c r="AG47" s="3">
        <f>IF(DAY(DicDom1)=1,IF(AND(YEAR(DicDom1+18)=Año_Calendario,MONTH(DicDom1+18)=12),DicDom1+18,""),IF(AND(YEAR(DicDom1+25)=Año_Calendario,MONTH(DicDom1+25)=12),DicDom1+25,""))</f>
        <v>40899</v>
      </c>
      <c r="AH47" s="3">
        <f>IF(DAY(DicDom1)=1,IF(AND(YEAR(DicDom1+19)=Año_Calendario,MONTH(DicDom1+19)=12),DicDom1+19,""),IF(AND(YEAR(DicDom1+26)=Año_Calendario,MONTH(DicDom1+26)=12),DicDom1+26,""))</f>
        <v>40900</v>
      </c>
      <c r="AI47" s="3">
        <f>IF(DAY(DicDom1)=1,IF(AND(YEAR(DicDom1+20)=Año_Calendario,MONTH(DicDom1+20)=12),DicDom1+20,""),IF(AND(YEAR(DicDom1+27)=Año_Calendario,MONTH(DicDom1+27)=12),DicDom1+27,""))</f>
        <v>40901</v>
      </c>
      <c r="AJ47" s="3">
        <f>IF(DAY(DicDom1)=1,IF(AND(YEAR(DicDom1+21)=Año_Calendario,MONTH(DicDom1+21)=12),DicDom1+21,""),IF(AND(YEAR(DicDom1+28)=Año_Calendario,MONTH(DicDom1+28)=12),DicDom1+28,""))</f>
        <v>40902</v>
      </c>
    </row>
    <row r="48" spans="3:36">
      <c r="C48" s="3">
        <f>IF(DAY(SepDom1)=1,IF(AND(YEAR(SepDom1+22)=Año_Calendario,MONTH(SepDom1+22)=9),SepDom1+22,""),IF(AND(YEAR(SepDom1+29)=Año_Calendario,MONTH(SepDom1+29)=9),SepDom1+29,""))</f>
        <v>40812</v>
      </c>
      <c r="D48" s="3">
        <f>IF(DAY(SepDom1)=1,IF(AND(YEAR(SepDom1+23)=Año_Calendario,MONTH(SepDom1+23)=9),SepDom1+23,""),IF(AND(YEAR(SepDom1+30)=Año_Calendario,MONTH(SepDom1+30)=9),SepDom1+30,""))</f>
        <v>40813</v>
      </c>
      <c r="E48" s="3">
        <f>IF(DAY(SepDom1)=1,IF(AND(YEAR(SepDom1+24)=Año_Calendario,MONTH(SepDom1+24)=9),SepDom1+24,""),IF(AND(YEAR(SepDom1+31)=Año_Calendario,MONTH(SepDom1+31)=9),SepDom1+31,""))</f>
        <v>40814</v>
      </c>
      <c r="F48" s="3">
        <f>IF(DAY(SepDom1)=1,IF(AND(YEAR(SepDom1+25)=Año_Calendario,MONTH(SepDom1+25)=9),SepDom1+25,""),IF(AND(YEAR(SepDom1+32)=Año_Calendario,MONTH(SepDom1+32)=9),SepDom1+32,""))</f>
        <v>40815</v>
      </c>
      <c r="G48" s="3">
        <f>IF(DAY(SepDom1)=1,IF(AND(YEAR(SepDom1+26)=Año_Calendario,MONTH(SepDom1+26)=9),SepDom1+26,""),IF(AND(YEAR(SepDom1+33)=Año_Calendario,MONTH(SepDom1+33)=9),SepDom1+33,""))</f>
        <v>40816</v>
      </c>
      <c r="H48" s="3" t="str">
        <f>IF(DAY(SepDom1)=1,IF(AND(YEAR(SepDom1+27)=Año_Calendario,MONTH(SepDom1+27)=9),SepDom1+27,""),IF(AND(YEAR(SepDom1+34)=Año_Calendario,MONTH(SepDom1+34)=9),SepDom1+34,""))</f>
        <v/>
      </c>
      <c r="I48" s="3" t="str">
        <f>IF(DAY(SepDom1)=1,IF(AND(YEAR(SepDom1+28)=Año_Calendario,MONTH(SepDom1+28)=9),SepDom1+28,""),IF(AND(YEAR(SepDom1+35)=Año_Calendario,MONTH(SepDom1+35)=9),SepDom1+35,""))</f>
        <v/>
      </c>
      <c r="J48" s="15"/>
      <c r="K48" s="5"/>
      <c r="L48" s="3">
        <f>IF(DAY(OctDom1)=1,IF(AND(YEAR(OctDom1+22)=Año_Calendario,MONTH(OctDom1+22)=10),OctDom1+22,""),IF(AND(YEAR(OctDom1+29)=Año_Calendario,MONTH(OctDom1+29)=10),OctDom1+29,""))</f>
        <v>40840</v>
      </c>
      <c r="M48" s="3">
        <f>IF(DAY(OctDom1)=1,IF(AND(YEAR(OctDom1+23)=Año_Calendario,MONTH(OctDom1+23)=10),OctDom1+23,""),IF(AND(YEAR(OctDom1+30)=Año_Calendario,MONTH(OctDom1+30)=10),OctDom1+30,""))</f>
        <v>40841</v>
      </c>
      <c r="N48" s="3">
        <f>IF(DAY(OctDom1)=1,IF(AND(YEAR(OctDom1+24)=Año_Calendario,MONTH(OctDom1+24)=10),OctDom1+24,""),IF(AND(YEAR(OctDom1+31)=Año_Calendario,MONTH(OctDom1+31)=10),OctDom1+31,""))</f>
        <v>40842</v>
      </c>
      <c r="O48" s="3">
        <f>IF(DAY(OctDom1)=1,IF(AND(YEAR(OctDom1+25)=Año_Calendario,MONTH(OctDom1+25)=10),OctDom1+25,""),IF(AND(YEAR(OctDom1+32)=Año_Calendario,MONTH(OctDom1+32)=10),OctDom1+32,""))</f>
        <v>40843</v>
      </c>
      <c r="P48" s="3">
        <f>IF(DAY(OctDom1)=1,IF(AND(YEAR(OctDom1+26)=Año_Calendario,MONTH(OctDom1+26)=10),OctDom1+26,""),IF(AND(YEAR(OctDom1+33)=Año_Calendario,MONTH(OctDom1+33)=10),OctDom1+33,""))</f>
        <v>40844</v>
      </c>
      <c r="Q48" s="3">
        <f>IF(DAY(OctDom1)=1,IF(AND(YEAR(OctDom1+27)=Año_Calendario,MONTH(OctDom1+27)=10),OctDom1+27,""),IF(AND(YEAR(OctDom1+34)=Año_Calendario,MONTH(OctDom1+34)=10),OctDom1+34,""))</f>
        <v>40845</v>
      </c>
      <c r="R48" s="3">
        <f>IF(DAY(OctDom1)=1,IF(AND(YEAR(OctDom1+28)=Año_Calendario,MONTH(OctDom1+28)=10),OctDom1+28,""),IF(AND(YEAR(OctDom1+35)=Año_Calendario,MONTH(OctDom1+35)=10),OctDom1+35,""))</f>
        <v>40846</v>
      </c>
      <c r="S48" s="15"/>
      <c r="U48" s="3">
        <f>IF(DAY(NovDom1)=1,IF(AND(YEAR(NovDom1+22)=Año_Calendario,MONTH(NovDom1+22)=11),NovDom1+22,""),IF(AND(YEAR(NovDom1+29)=Año_Calendario,MONTH(NovDom1+29)=11),NovDom1+29,""))</f>
        <v>40875</v>
      </c>
      <c r="V48" s="3">
        <f>IF(DAY(NovDom1)=1,IF(AND(YEAR(NovDom1+23)=Año_Calendario,MONTH(NovDom1+23)=11),NovDom1+23,""),IF(AND(YEAR(NovDom1+30)=Año_Calendario,MONTH(NovDom1+30)=11),NovDom1+30,""))</f>
        <v>40876</v>
      </c>
      <c r="W48" s="3">
        <f>IF(DAY(NovDom1)=1,IF(AND(YEAR(NovDom1+24)=Año_Calendario,MONTH(NovDom1+24)=11),NovDom1+24,""),IF(AND(YEAR(NovDom1+31)=Año_Calendario,MONTH(NovDom1+31)=11),NovDom1+31,""))</f>
        <v>40877</v>
      </c>
      <c r="X48" s="3" t="str">
        <f>IF(DAY(NovDom1)=1,IF(AND(YEAR(NovDom1+25)=Año_Calendario,MONTH(NovDom1+25)=11),NovDom1+25,""),IF(AND(YEAR(NovDom1+32)=Año_Calendario,MONTH(NovDom1+32)=11),NovDom1+32,""))</f>
        <v/>
      </c>
      <c r="Y48" s="3" t="str">
        <f>IF(DAY(NovDom1)=1,IF(AND(YEAR(NovDom1+26)=Año_Calendario,MONTH(NovDom1+26)=11),NovDom1+26,""),IF(AND(YEAR(NovDom1+33)=Año_Calendario,MONTH(NovDom1+33)=11),NovDom1+33,""))</f>
        <v/>
      </c>
      <c r="Z48" s="3" t="str">
        <f>IF(DAY(NovDom1)=1,IF(AND(YEAR(NovDom1+27)=Año_Calendario,MONTH(NovDom1+27)=11),NovDom1+27,""),IF(AND(YEAR(NovDom1+34)=Año_Calendario,MONTH(NovDom1+34)=11),NovDom1+34,""))</f>
        <v/>
      </c>
      <c r="AA48" s="3" t="str">
        <f>IF(DAY(NovDom1)=1,IF(AND(YEAR(NovDom1+28)=Año_Calendario,MONTH(NovDom1+28)=11),NovDom1+28,""),IF(AND(YEAR(NovDom1+35)=Año_Calendario,MONTH(NovDom1+35)=11),NovDom1+35,""))</f>
        <v/>
      </c>
      <c r="AB48" s="15"/>
      <c r="AC48" s="5"/>
      <c r="AD48" s="3">
        <f>IF(DAY(DicDom1)=1,IF(AND(YEAR(DicDom1+22)=Año_Calendario,MONTH(DicDom1+22)=12),DicDom1+22,""),IF(AND(YEAR(DicDom1+29)=Año_Calendario,MONTH(DicDom1+29)=12),DicDom1+29,""))</f>
        <v>40903</v>
      </c>
      <c r="AE48" s="3">
        <f>IF(DAY(DicDom1)=1,IF(AND(YEAR(DicDom1+23)=Año_Calendario,MONTH(DicDom1+23)=12),DicDom1+23,""),IF(AND(YEAR(DicDom1+30)=Año_Calendario,MONTH(DicDom1+30)=12),DicDom1+30,""))</f>
        <v>40904</v>
      </c>
      <c r="AF48" s="3">
        <f>IF(DAY(DicDom1)=1,IF(AND(YEAR(DicDom1+24)=Año_Calendario,MONTH(DicDom1+24)=12),DicDom1+24,""),IF(AND(YEAR(DicDom1+31)=Año_Calendario,MONTH(DicDom1+31)=12),DicDom1+31,""))</f>
        <v>40905</v>
      </c>
      <c r="AG48" s="3">
        <f>IF(DAY(DicDom1)=1,IF(AND(YEAR(DicDom1+25)=Año_Calendario,MONTH(DicDom1+25)=12),DicDom1+25,""),IF(AND(YEAR(DicDom1+32)=Año_Calendario,MONTH(DicDom1+32)=12),DicDom1+32,""))</f>
        <v>40906</v>
      </c>
      <c r="AH48" s="3">
        <f>IF(DAY(DicDom1)=1,IF(AND(YEAR(DicDom1+26)=Año_Calendario,MONTH(DicDom1+26)=12),DicDom1+26,""),IF(AND(YEAR(DicDom1+33)=Año_Calendario,MONTH(DicDom1+33)=12),DicDom1+33,""))</f>
        <v>40907</v>
      </c>
      <c r="AI48" s="3">
        <f>IF(DAY(DicDom1)=1,IF(AND(YEAR(DicDom1+27)=Año_Calendario,MONTH(DicDom1+27)=12),DicDom1+27,""),IF(AND(YEAR(DicDom1+34)=Año_Calendario,MONTH(DicDom1+34)=12),DicDom1+34,""))</f>
        <v>40908</v>
      </c>
      <c r="AJ48" s="3" t="str">
        <f>IF(DAY(DicDom1)=1,IF(AND(YEAR(DicDom1+28)=Año_Calendario,MONTH(DicDom1+28)=12),DicDom1+28,""),IF(AND(YEAR(DicDom1+35)=Año_Calendario,MONTH(DicDom1+35)=12),DicDom1+35,""))</f>
        <v/>
      </c>
    </row>
    <row r="49" spans="3:36">
      <c r="C49" s="3" t="str">
        <f>IF(DAY(SepDom1)=1,IF(AND(YEAR(SepDom1+29)=Año_Calendario,MONTH(SepDom1+29)=9),SepDom1+29,""),IF(AND(YEAR(SepDom1+36)=Año_Calendario,MONTH(SepDom1+36)=9),SepDom1+36,""))</f>
        <v/>
      </c>
      <c r="D49" s="3" t="str">
        <f>IF(DAY(SepDom1)=1,IF(AND(YEAR(SepDom1+30)=Año_Calendario,MONTH(SepDom1+30)=9),SepDom1+30,""),IF(AND(YEAR(SepDom1+37)=Año_Calendario,MONTH(SepDom1+37)=9),SepDom1+37,""))</f>
        <v/>
      </c>
      <c r="E49" s="3" t="str">
        <f>IF(DAY(SepDom1)=1,IF(AND(YEAR(SepDom1+31)=Año_Calendario,MONTH(SepDom1+31)=9),SepDom1+31,""),IF(AND(YEAR(SepDom1+38)=Año_Calendario,MONTH(SepDom1+38)=9),SepDom1+38,""))</f>
        <v/>
      </c>
      <c r="F49" s="3" t="str">
        <f>IF(DAY(SepDom1)=1,IF(AND(YEAR(SepDom1+32)=Año_Calendario,MONTH(SepDom1+32)=9),SepDom1+32,""),IF(AND(YEAR(SepDom1+39)=Año_Calendario,MONTH(SepDom1+39)=9),SepDom1+39,""))</f>
        <v/>
      </c>
      <c r="G49" s="3" t="str">
        <f>IF(DAY(SepDom1)=1,IF(AND(YEAR(SepDom1+33)=Año_Calendario,MONTH(SepDom1+33)=9),SepDom1+33,""),IF(AND(YEAR(SepDom1+40)=Año_Calendario,MONTH(SepDom1+40)=9),SepDom1+40,""))</f>
        <v/>
      </c>
      <c r="H49" s="3" t="str">
        <f>IF(DAY(SepDom1)=1,IF(AND(YEAR(SepDom1+34)=Año_Calendario,MONTH(SepDom1+34)=9),SepDom1+34,""),IF(AND(YEAR(SepDom1+41)=Año_Calendario,MONTH(SepDom1+41)=9),SepDom1+41,""))</f>
        <v/>
      </c>
      <c r="I49" s="3" t="str">
        <f>IF(DAY(SepDom1)=1,IF(AND(YEAR(SepDom1+35)=Año_Calendario,MONTH(SepDom1+35)=9),SepDom1+35,""),IF(AND(YEAR(SepDom1+42)=Año_Calendario,MONTH(SepDom1+42)=9),SepDom1+42,""))</f>
        <v/>
      </c>
      <c r="J49" s="15"/>
      <c r="K49" s="5"/>
      <c r="L49" s="3">
        <f>IF(DAY(OctDom1)=1,IF(AND(YEAR(OctDom1+29)=Año_Calendario,MONTH(OctDom1+29)=10),OctDom1+29,""),IF(AND(YEAR(OctDom1+36)=Año_Calendario,MONTH(OctDom1+36)=10),OctDom1+36,""))</f>
        <v>40847</v>
      </c>
      <c r="M49" s="3" t="str">
        <f>IF(DAY(OctDom1)=1,IF(AND(YEAR(OctDom1+30)=Año_Calendario,MONTH(OctDom1+30)=10),OctDom1+30,""),IF(AND(YEAR(OctDom1+37)=Año_Calendario,MONTH(OctDom1+37)=10),OctDom1+37,""))</f>
        <v/>
      </c>
      <c r="N49" s="3" t="str">
        <f>IF(DAY(OctDom1)=1,IF(AND(YEAR(OctDom1+31)=Año_Calendario,MONTH(OctDom1+31)=10),OctDom1+31,""),IF(AND(YEAR(OctDom1+38)=Año_Calendario,MONTH(OctDom1+38)=10),OctDom1+38,""))</f>
        <v/>
      </c>
      <c r="O49" s="3" t="str">
        <f>IF(DAY(OctDom1)=1,IF(AND(YEAR(OctDom1+32)=Año_Calendario,MONTH(OctDom1+32)=10),OctDom1+32,""),IF(AND(YEAR(OctDom1+39)=Año_Calendario,MONTH(OctDom1+39)=10),OctDom1+39,""))</f>
        <v/>
      </c>
      <c r="P49" s="3" t="str">
        <f>IF(DAY(OctDom1)=1,IF(AND(YEAR(OctDom1+33)=Año_Calendario,MONTH(OctDom1+33)=10),OctDom1+33,""),IF(AND(YEAR(OctDom1+40)=Año_Calendario,MONTH(OctDom1+40)=10),OctDom1+40,""))</f>
        <v/>
      </c>
      <c r="Q49" s="3" t="str">
        <f>IF(DAY(OctDom1)=1,IF(AND(YEAR(OctDom1+34)=Año_Calendario,MONTH(OctDom1+34)=10),OctDom1+34,""),IF(AND(YEAR(OctDom1+41)=Año_Calendario,MONTH(OctDom1+41)=10),OctDom1+41,""))</f>
        <v/>
      </c>
      <c r="R49" s="3" t="str">
        <f>IF(DAY(OctDom1)=1,IF(AND(YEAR(OctDom1+35)=Año_Calendario,MONTH(OctDom1+35)=10),OctDom1+35,""),IF(AND(YEAR(OctDom1+42)=Año_Calendario,MONTH(OctDom1+42)=10),OctDom1+42,""))</f>
        <v/>
      </c>
      <c r="S49" s="15"/>
      <c r="U49" s="3" t="str">
        <f>IF(DAY(NovDom1)=1,IF(AND(YEAR(NovDom1+29)=Año_Calendario,MONTH(NovDom1+29)=11),NovDom1+29,""),IF(AND(YEAR(NovDom1+36)=Año_Calendario,MONTH(NovDom1+36)=11),NovDom1+36,""))</f>
        <v/>
      </c>
      <c r="V49" s="3" t="str">
        <f>IF(DAY(NovDom1)=1,IF(AND(YEAR(NovDom1+30)=Año_Calendario,MONTH(NovDom1+30)=11),NovDom1+30,""),IF(AND(YEAR(NovDom1+37)=Año_Calendario,MONTH(NovDom1+37)=11),NovDom1+37,""))</f>
        <v/>
      </c>
      <c r="W49" s="3" t="str">
        <f>IF(DAY(NovDom1)=1,IF(AND(YEAR(NovDom1+31)=Año_Calendario,MONTH(NovDom1+31)=11),NovDom1+31,""),IF(AND(YEAR(NovDom1+38)=Año_Calendario,MONTH(NovDom1+38)=11),NovDom1+38,""))</f>
        <v/>
      </c>
      <c r="X49" s="3" t="str">
        <f>IF(DAY(NovDom1)=1,IF(AND(YEAR(NovDom1+32)=Año_Calendario,MONTH(NovDom1+32)=11),NovDom1+32,""),IF(AND(YEAR(NovDom1+39)=Año_Calendario,MONTH(NovDom1+39)=11),NovDom1+39,""))</f>
        <v/>
      </c>
      <c r="Y49" s="3" t="str">
        <f>IF(DAY(NovDom1)=1,IF(AND(YEAR(NovDom1+33)=Año_Calendario,MONTH(NovDom1+33)=11),NovDom1+33,""),IF(AND(YEAR(NovDom1+40)=Año_Calendario,MONTH(NovDom1+40)=11),NovDom1+40,""))</f>
        <v/>
      </c>
      <c r="Z49" s="3" t="str">
        <f>IF(DAY(NovDom1)=1,IF(AND(YEAR(NovDom1+34)=Año_Calendario,MONTH(NovDom1+34)=11),NovDom1+34,""),IF(AND(YEAR(NovDom1+41)=Año_Calendario,MONTH(NovDom1+41)=11),NovDom1+41,""))</f>
        <v/>
      </c>
      <c r="AA49" s="3" t="str">
        <f>IF(DAY(NovDom1)=1,IF(AND(YEAR(NovDom1+35)=Año_Calendario,MONTH(NovDom1+35)=11),NovDom1+35,""),IF(AND(YEAR(NovDom1+42)=Año_Calendario,MONTH(NovDom1+42)=11),NovDom1+42,""))</f>
        <v/>
      </c>
      <c r="AB49" s="15"/>
      <c r="AC49" s="5"/>
      <c r="AD49" s="3" t="str">
        <f>IF(DAY(DicDom1)=1,IF(AND(YEAR(DicDom1+29)=Año_Calendario,MONTH(DicDom1+29)=12),DicDom1+29,""),IF(AND(YEAR(DicDom1+36)=Año_Calendario,MONTH(DicDom1+36)=12),DicDom1+36,""))</f>
        <v/>
      </c>
      <c r="AE49" s="3" t="str">
        <f>IF(DAY(DicDom1)=1,IF(AND(YEAR(DicDom1+30)=Año_Calendario,MONTH(DicDom1+30)=12),DicDom1+30,""),IF(AND(YEAR(DicDom1+37)=Año_Calendario,MONTH(DicDom1+37)=12),DicDom1+37,""))</f>
        <v/>
      </c>
      <c r="AF49" s="3" t="str">
        <f>IF(DAY(DicDom1)=1,IF(AND(YEAR(DicDom1+31)=Año_Calendario,MONTH(DicDom1+31)=12),DicDom1+31,""),IF(AND(YEAR(DicDom1+38)=Año_Calendario,MONTH(DicDom1+38)=12),DicDom1+38,""))</f>
        <v/>
      </c>
      <c r="AG49" s="3" t="str">
        <f>IF(DAY(DicDom1)=1,IF(AND(YEAR(DicDom1+32)=Año_Calendario,MONTH(DicDom1+32)=12),DicDom1+32,""),IF(AND(YEAR(DicDom1+39)=Año_Calendario,MONTH(DicDom1+39)=12),DicDom1+39,""))</f>
        <v/>
      </c>
      <c r="AH49" s="3" t="str">
        <f>IF(DAY(DicDom1)=1,IF(AND(YEAR(DicDom1+33)=Año_Calendario,MONTH(DicDom1+33)=12),DicDom1+33,""),IF(AND(YEAR(DicDom1+40)=Año_Calendario,MONTH(DicDom1+40)=12),DicDom1+40,""))</f>
        <v/>
      </c>
      <c r="AI49" s="3" t="str">
        <f>IF(DAY(DicDom1)=1,IF(AND(YEAR(DicDom1+34)=Año_Calendario,MONTH(DicDom1+34)=12),DicDom1+34,""),IF(AND(YEAR(DicDom1+41)=Año_Calendario,MONTH(DicDom1+41)=12),DicDom1+41,""))</f>
        <v/>
      </c>
      <c r="AJ49" s="3" t="str">
        <f>IF(DAY(DicDom1)=1,IF(AND(YEAR(DicDom1+35)=Año_Calendario,MONTH(DicDom1+35)=12),DicDom1+35,""),IF(AND(YEAR(DicDom1+42)=Año_Calendario,MONTH(DicDom1+42)=12),DicDom1+42,""))</f>
        <v/>
      </c>
    </row>
    <row r="50" spans="3:36"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conditionalFormatting sqref="C26:I31 L26:R31 U26:AA31 AD26:AJ31 C35:I40 L35:R40 U35:AA40 AD35:AJ40 C44:I49 L44:R49 U44:AA49 AD44:AJ49">
    <cfRule type="expression" dxfId="0" priority="1">
      <formula>VLOOKUP(C26,FechasImportantes,1,FALSE)=C26</formula>
    </cfRule>
  </conditionalFormatting>
  <printOptions horizontalCentered="1"/>
  <pageMargins left="0.5" right="0.5" top="0.75" bottom="0.75" header="0.3" footer="0.3"/>
  <pageSetup scale="91" orientation="portrait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2029-05-12T07:00:00+00:00</AssetExpire>
    <IntlLangReviewDate xmlns="2958f784-0ef9-4616-b22d-512a8cad1f0d" xsi:nil="true"/>
    <TPFriendlyName xmlns="2958f784-0ef9-4616-b22d-512a8cad1f0d" xsi:nil="true"/>
    <IntlLangReview xmlns="2958f784-0ef9-4616-b22d-512a8cad1f0d" xsi:nil="true"/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 xsi:nil="true"/>
    <Markets xmlns="2958f784-0ef9-4616-b22d-512a8cad1f0d"/>
    <OriginAsset xmlns="2958f784-0ef9-4616-b22d-512a8cad1f0d" xsi:nil="true"/>
    <AssetStart xmlns="2958f784-0ef9-4616-b22d-512a8cad1f0d">2011-02-21T06:53:00+00:00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414127</Value>
      <Value>645100</Value>
    </PublishStatusLookup>
    <APAuthor xmlns="2958f784-0ef9-4616-b22d-512a8cad1f0d">
      <UserInfo>
        <DisplayName>REDMOND\v-salaxm</DisplayName>
        <AccountId>2098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OutputCachingOn xmlns="2958f784-0ef9-4616-b22d-512a8cad1f0d">false</OutputCachingOn>
    <TemplateStatus xmlns="2958f784-0ef9-4616-b22d-512a8cad1f0d" xsi:nil="true"/>
    <IsSearchable xmlns="2958f784-0ef9-4616-b22d-512a8cad1f0d">true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 xsi:nil="true"/>
    <UALocRecommendation xmlns="2958f784-0ef9-4616-b22d-512a8cad1f0d">Localize</UALocRecommendation>
    <LastModifiedDateTime xmlns="2958f784-0ef9-4616-b22d-512a8cad1f0d" xsi:nil="true"/>
    <LastPublishResultLookup xmlns="2958f784-0ef9-4616-b22d-512a8cad1f0d" xsi:nil="true"/>
    <LegacyData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true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BusinessGroup xmlns="2958f784-0ef9-4616-b22d-512a8cad1f0d" xsi:nil="true"/>
    <Providers xmlns="2958f784-0ef9-4616-b22d-512a8cad1f0d" xsi:nil="true"/>
    <TemplateTemplateType xmlns="2958f784-0ef9-4616-b22d-512a8cad1f0d">Excel Chart Template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Provider xmlns="2958f784-0ef9-4616-b22d-512a8cad1f0d" xsi:nil="true"/>
    <UACurrentWords xmlns="2958f784-0ef9-4616-b22d-512a8cad1f0d" xsi:nil="true"/>
    <AssetId xmlns="2958f784-0ef9-4616-b22d-512a8cad1f0d">TP102550653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</PublishTargets>
    <ApprovalLog xmlns="2958f784-0ef9-4616-b22d-512a8cad1f0d" xsi:nil="true"/>
    <BugNumber xmlns="2958f784-0ef9-4616-b22d-512a8cad1f0d" xsi:nil="true"/>
    <CrawlForDependencies xmlns="2958f784-0ef9-4616-b22d-512a8cad1f0d">false</CrawlForDependencies>
    <LastHandOff xmlns="2958f784-0ef9-4616-b22d-512a8cad1f0d" xsi:nil="true"/>
    <Milestone xmlns="2958f784-0ef9-4616-b22d-512a8cad1f0d" xsi:nil="true"/>
    <UANotes xmlns="2958f784-0ef9-4616-b22d-512a8cad1f0d" xsi:nil="true"/>
    <InternalTagsTaxHTField0 xmlns="2958f784-0ef9-4616-b22d-512a8cad1f0d">
      <Terms xmlns="http://schemas.microsoft.com/office/infopath/2007/PartnerControls"/>
    </InternalTagsTaxHTField0>
    <LocComments xmlns="2958f784-0ef9-4616-b22d-512a8cad1f0d" xsi:nil="true"/>
    <LocProcessedForMarketsLookup xmlns="2958f784-0ef9-4616-b22d-512a8cad1f0d" xsi:nil="true"/>
    <LocalizationTagsTaxHTField0 xmlns="2958f784-0ef9-4616-b22d-512a8cad1f0d">
      <Terms xmlns="http://schemas.microsoft.com/office/infopath/2007/PartnerControls"/>
    </LocalizationTagsTaxHTField0>
    <FeatureTagsTaxHTField0 xmlns="2958f784-0ef9-4616-b22d-512a8cad1f0d">
      <Terms xmlns="http://schemas.microsoft.com/office/infopath/2007/PartnerControls"/>
    </FeatureTagsTaxHTField0>
    <LocOverallLocStatusLookup xmlns="2958f784-0ef9-4616-b22d-512a8cad1f0d" xsi:nil="true"/>
    <LocPublishedLinkedAssetsLookup xmlns="2958f784-0ef9-4616-b22d-512a8cad1f0d" xsi:nil="true"/>
    <Description0 xmlns="fb5acd76-e9f3-4601-9d69-91f53ab96ae6" xsi:nil="true"/>
    <Component xmlns="fb5acd76-e9f3-4601-9d69-91f53ab96ae6" xsi:nil="true"/>
    <LocLastLocAttemptVersionTypeLookup xmlns="2958f784-0ef9-4616-b22d-512a8cad1f0d" xsi:nil="true"/>
    <LocManualTestRequired xmlns="2958f784-0ef9-4616-b22d-512a8cad1f0d" xsi:nil="true"/>
    <RecommendationsModifier xmlns="2958f784-0ef9-4616-b22d-512a8cad1f0d" xsi:nil="true"/>
    <CampaignTagsTaxHTField0 xmlns="2958f784-0ef9-4616-b22d-512a8cad1f0d">
      <Terms xmlns="http://schemas.microsoft.com/office/infopath/2007/PartnerControls"/>
    </CampaignTagsTaxHTField0>
    <LocOverallHandbackStatusLookup xmlns="2958f784-0ef9-4616-b22d-512a8cad1f0d" xsi:nil="true"/>
    <LocProcessedForHandoffsLookup xmlns="2958f784-0ef9-4616-b22d-512a8cad1f0d" xsi:nil="true"/>
    <LocOverallPreviewStatusLookup xmlns="2958f784-0ef9-4616-b22d-512a8cad1f0d" xsi:nil="true"/>
    <LocOverallPublishStatusLookup xmlns="2958f784-0ef9-4616-b22d-512a8cad1f0d" xsi:nil="true"/>
    <TaxCatchAll xmlns="2958f784-0ef9-4616-b22d-512a8cad1f0d"/>
    <LocNewPublishedVersionLookup xmlns="2958f784-0ef9-4616-b22d-512a8cad1f0d" xsi:nil="true"/>
    <LocPublishedDependentAssetsLookup xmlns="2958f784-0ef9-4616-b22d-512a8cad1f0d" xsi:nil="true"/>
    <LocRecommendedHandoff xmlns="2958f784-0ef9-4616-b22d-512a8cad1f0d" xsi:nil="true"/>
    <ScenarioTagsTaxHTField0 xmlns="2958f784-0ef9-4616-b22d-512a8cad1f0d">
      <Terms xmlns="http://schemas.microsoft.com/office/infopath/2007/PartnerControls"/>
    </ScenarioTagsTaxHTField0>
    <LocLastLocAttemptVersionLookup xmlns="2958f784-0ef9-4616-b22d-512a8cad1f0d">6176</LocLastLocAttemptVersionLookup>
    <OriginalRelease xmlns="2958f784-0ef9-4616-b22d-512a8cad1f0d">14</OriginalRelease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88721D7-0141-475E-A071-F78B21878F09}"/>
</file>

<file path=customXml/itemProps2.xml><?xml version="1.0" encoding="utf-8"?>
<ds:datastoreItem xmlns:ds="http://schemas.openxmlformats.org/officeDocument/2006/customXml" ds:itemID="{38DBAC64-9F1B-4A9C-91BE-E820C526B120}"/>
</file>

<file path=customXml/itemProps3.xml><?xml version="1.0" encoding="utf-8"?>
<ds:datastoreItem xmlns:ds="http://schemas.openxmlformats.org/officeDocument/2006/customXml" ds:itemID="{2A740085-26DB-45CA-92E5-83C28E018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Calendario familiar</vt:lpstr>
      <vt:lpstr>Año_Calendario</vt:lpstr>
      <vt:lpstr>'Calendario familiar'!Área_de_impresión</vt:lpstr>
      <vt:lpstr>FechasImportantes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2010-12-19T17:56:12Z</dcterms:created>
  <dcterms:modified xsi:type="dcterms:W3CDTF">2011-05-10T09:24:32Z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</Properties>
</file>