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FY18_Q1_B1\"/>
    </mc:Choice>
  </mc:AlternateContent>
  <bookViews>
    <workbookView xWindow="0" yWindow="0" windowWidth="21600" windowHeight="9510"/>
  </bookViews>
  <sheets>
    <sheet name="Έσοδα (Πωλήσεις)" sheetId="2" r:id="rId1"/>
    <sheet name="Κόστος πωλήσεων" sheetId="3" r:id="rId2"/>
    <sheet name="Έξοδα" sheetId="4" r:id="rId3"/>
  </sheets>
  <definedNames>
    <definedName name="_xlnm.Print_Titles" localSheetId="2">Έξοδα!$3:$4</definedName>
    <definedName name="_xlnm.Print_Titles" localSheetId="0">'Έσοδα (Πωλήσεις)'!$3:$4</definedName>
    <definedName name="_xlnm.Print_Titles" localSheetId="1">'Κόστος πωλήσεων'!$3:$4</definedName>
    <definedName name="ΑρΜήναΟΕ">IF(ΜήναςΈναρξηςΟΕ="ΙΑΝ",1,IF(ΜήναςΈναρξηςΟΕ="ΦΕΒ",2,IF(ΜήναςΈναρξηςΟΕ="ΜΑΡ",3,IF(ΜήναςΈναρξηςΟΕ="ΑΠΡ",4,IF(ΜήναςΈναρξηςΟΕ="ΜΑΪ",5,IF(ΜήναςΈναρξηςΟΕ="ΙΟΥΝ",6,IF(ΜήναςΈναρξηςΟΕ="ΙΟΥΛ",7,IF(ΜήναςΈναρξηςΟΕ="ΑΥΓ",8,IF(ΜήναςΈναρξηςΟΕ="ΣΕΠ",9,IF(ΜήναςΈναρξηςΟΕ="ΟΚΤ",10,IF(ΜήναςΈναρξηςΟΕ="ΝΟΕ",11,12)))))))))))</definedName>
    <definedName name="Επωνυμία_εταιρείας">'Έσοδα (Πωλήσεις)'!$AD$1</definedName>
    <definedName name="ΈτοςΈναρξηςΟΕ">'Έσοδα (Πωλήσεις)'!$AD$2</definedName>
    <definedName name="ΜήναςΈναρξηςΟΕ">'Έσοδα (Πωλήσεις)'!$AC$2</definedName>
    <definedName name="Τίτλος_Περιόδου_Προβολής">'Έσοδα (Πωλήσεις)'!$B$1</definedName>
    <definedName name="Τίτλος_ΦυλΕργ">'Έσοδα (Πωλήσεις)'!$B$2</definedName>
    <definedName name="Τίτλος1">Έσοδα[[#Headers],[ΕΣΟΔΑ (ΠΩΛΗΣΕΙΣ)]]</definedName>
    <definedName name="Τίτλος2">ΚόστοςΠωλήσεων[[#Headers],[ΚΟΣΤΟΣ ΠΩΛΗΣΕΩΝ]]</definedName>
    <definedName name="Τίτλος3">πνκΈξοδα[[#Headers],[ΕΞΟΔΑ]]</definedName>
  </definedNames>
  <calcPr calcId="162913"/>
</workbook>
</file>

<file path=xl/calcChain.xml><?xml version="1.0" encoding="utf-8"?>
<calcChain xmlns="http://schemas.openxmlformats.org/spreadsheetml/2006/main">
  <c r="B2" i="3" l="1"/>
  <c r="B1" i="3"/>
  <c r="B2" i="4"/>
  <c r="B1" i="4"/>
  <c r="P20" i="4"/>
  <c r="P21" i="4"/>
  <c r="P22" i="4"/>
  <c r="P23" i="4"/>
  <c r="P6" i="4"/>
  <c r="P7" i="4"/>
  <c r="P8" i="4"/>
  <c r="P9" i="4"/>
  <c r="P10" i="4"/>
  <c r="P11" i="4"/>
  <c r="P12" i="4"/>
  <c r="P13" i="4"/>
  <c r="P14" i="4"/>
  <c r="P15" i="4"/>
  <c r="P16" i="4"/>
  <c r="P17" i="4"/>
  <c r="P18" i="4"/>
  <c r="P19" i="4"/>
  <c r="P5" i="4"/>
  <c r="AB6" i="3"/>
  <c r="AB9" i="3"/>
  <c r="AA6" i="3"/>
  <c r="AA10" i="3"/>
  <c r="X9" i="3"/>
  <c r="U7" i="3"/>
  <c r="R6" i="3"/>
  <c r="R10" i="3"/>
  <c r="P6" i="3"/>
  <c r="P7" i="3"/>
  <c r="P8" i="3"/>
  <c r="P9" i="3"/>
  <c r="P10" i="3"/>
  <c r="P11" i="3"/>
  <c r="P5" i="3"/>
  <c r="AA8" i="2"/>
  <c r="AA11" i="2"/>
  <c r="X7" i="2"/>
  <c r="X8" i="2"/>
  <c r="X10" i="2"/>
  <c r="X11" i="2"/>
  <c r="U8" i="2"/>
  <c r="R8" i="2"/>
  <c r="R11" i="2"/>
  <c r="P6" i="2"/>
  <c r="P7" i="2"/>
  <c r="P8" i="2"/>
  <c r="P9" i="2"/>
  <c r="P10" i="2"/>
  <c r="P11" i="2"/>
  <c r="P5" i="2"/>
  <c r="Q24" i="4"/>
  <c r="O24" i="4"/>
  <c r="AC21" i="4" s="1"/>
  <c r="N24" i="4"/>
  <c r="AB18" i="4" s="1"/>
  <c r="M24" i="4"/>
  <c r="L24" i="4"/>
  <c r="Z20" i="4" s="1"/>
  <c r="K24" i="4"/>
  <c r="Y18" i="4" s="1"/>
  <c r="J24" i="4"/>
  <c r="I24" i="4"/>
  <c r="W5" i="4" s="1"/>
  <c r="H24" i="4"/>
  <c r="V18" i="4" s="1"/>
  <c r="G24" i="4"/>
  <c r="F24" i="4"/>
  <c r="T23" i="4" s="1"/>
  <c r="E24" i="4"/>
  <c r="S18" i="4" s="1"/>
  <c r="D24" i="4"/>
  <c r="Q12" i="3"/>
  <c r="O12" i="3"/>
  <c r="AC6" i="3" s="1"/>
  <c r="N12" i="3"/>
  <c r="M12" i="3"/>
  <c r="AA9" i="3" s="1"/>
  <c r="L12" i="3"/>
  <c r="Z6" i="3" s="1"/>
  <c r="K12" i="3"/>
  <c r="J12" i="3"/>
  <c r="J14" i="3" s="1"/>
  <c r="I12" i="3"/>
  <c r="W7" i="3" s="1"/>
  <c r="H12" i="3"/>
  <c r="G12" i="3"/>
  <c r="U6" i="3" s="1"/>
  <c r="F12" i="3"/>
  <c r="T7" i="3" s="1"/>
  <c r="E12" i="3"/>
  <c r="D12" i="3"/>
  <c r="Q12" i="2"/>
  <c r="O12" i="2"/>
  <c r="N12" i="2"/>
  <c r="AB7" i="2" s="1"/>
  <c r="M12" i="2"/>
  <c r="AA6" i="2" s="1"/>
  <c r="L12" i="2"/>
  <c r="K12" i="2"/>
  <c r="Y7" i="2" s="1"/>
  <c r="J12" i="2"/>
  <c r="X6" i="2" s="1"/>
  <c r="I12" i="2"/>
  <c r="H12" i="2"/>
  <c r="V7" i="2" s="1"/>
  <c r="G12" i="2"/>
  <c r="U6" i="2" s="1"/>
  <c r="F12" i="2"/>
  <c r="E12" i="2"/>
  <c r="S7" i="2" s="1"/>
  <c r="D12" i="2"/>
  <c r="R6" i="2" s="1"/>
  <c r="AD1" i="3"/>
  <c r="AD1" i="4"/>
  <c r="AC2" i="3"/>
  <c r="AC2" i="4"/>
  <c r="E14" i="3" l="1"/>
  <c r="H14" i="3"/>
  <c r="K14" i="3"/>
  <c r="N14" i="3"/>
  <c r="S6" i="2"/>
  <c r="V5" i="2"/>
  <c r="V9" i="2"/>
  <c r="V6" i="2"/>
  <c r="Y9" i="2"/>
  <c r="AB6" i="2"/>
  <c r="S5" i="2"/>
  <c r="U11" i="2"/>
  <c r="V11" i="2"/>
  <c r="V8" i="2"/>
  <c r="X5" i="2"/>
  <c r="X9" i="2"/>
  <c r="Y6" i="2"/>
  <c r="AB5" i="2"/>
  <c r="S9" i="2"/>
  <c r="V10" i="2"/>
  <c r="Y5" i="2"/>
  <c r="AB9" i="2"/>
  <c r="T10" i="2"/>
  <c r="W7" i="2"/>
  <c r="Z7" i="2"/>
  <c r="AC10" i="2"/>
  <c r="P12" i="2"/>
  <c r="R10" i="2"/>
  <c r="R7" i="2"/>
  <c r="S11" i="2"/>
  <c r="S8" i="2"/>
  <c r="T5" i="2"/>
  <c r="T9" i="2"/>
  <c r="T6" i="2"/>
  <c r="U10" i="2"/>
  <c r="U7" i="2"/>
  <c r="W5" i="2"/>
  <c r="W9" i="2"/>
  <c r="W6" i="2"/>
  <c r="Y11" i="2"/>
  <c r="Y8" i="2"/>
  <c r="Z5" i="2"/>
  <c r="Z9" i="2"/>
  <c r="Z6" i="2"/>
  <c r="AA10" i="2"/>
  <c r="AA7" i="2"/>
  <c r="AB11" i="2"/>
  <c r="AB8" i="2"/>
  <c r="AC5" i="2"/>
  <c r="AC9" i="2"/>
  <c r="AC6" i="2"/>
  <c r="T7" i="2"/>
  <c r="W10" i="2"/>
  <c r="Z10" i="2"/>
  <c r="AC7" i="2"/>
  <c r="D14" i="3"/>
  <c r="R5" i="2"/>
  <c r="R9" i="2"/>
  <c r="S10" i="2"/>
  <c r="T11" i="2"/>
  <c r="T8" i="2"/>
  <c r="U5" i="2"/>
  <c r="U9" i="2"/>
  <c r="W11" i="2"/>
  <c r="W8" i="2"/>
  <c r="Y10" i="2"/>
  <c r="Z11" i="2"/>
  <c r="Z8" i="2"/>
  <c r="AA5" i="2"/>
  <c r="AA9" i="2"/>
  <c r="AB10" i="2"/>
  <c r="AC11" i="2"/>
  <c r="AC8" i="2"/>
  <c r="T6" i="3"/>
  <c r="W9" i="3"/>
  <c r="Z10" i="3"/>
  <c r="Z7" i="3"/>
  <c r="L14" i="3"/>
  <c r="R5" i="3"/>
  <c r="R7" i="3"/>
  <c r="T9" i="3"/>
  <c r="U9" i="3"/>
  <c r="X5" i="3"/>
  <c r="X10" i="3"/>
  <c r="X6" i="3"/>
  <c r="Z11" i="3"/>
  <c r="Z8" i="3"/>
  <c r="AB5" i="3"/>
  <c r="AA7" i="3"/>
  <c r="AB10" i="3"/>
  <c r="AB7" i="3"/>
  <c r="AC8" i="3"/>
  <c r="M14" i="3"/>
  <c r="M26" i="4" s="1"/>
  <c r="G14" i="3"/>
  <c r="G26" i="4" s="1"/>
  <c r="Z5" i="3"/>
  <c r="R9" i="3"/>
  <c r="U5" i="3"/>
  <c r="U10" i="3"/>
  <c r="W6" i="3"/>
  <c r="X7" i="3"/>
  <c r="AA5" i="3"/>
  <c r="Z9" i="3"/>
  <c r="AB11" i="3"/>
  <c r="AB8" i="3"/>
  <c r="AC11" i="3"/>
  <c r="S11" i="3"/>
  <c r="S8" i="3"/>
  <c r="V11" i="3"/>
  <c r="V8" i="3"/>
  <c r="Y11" i="3"/>
  <c r="Y8" i="3"/>
  <c r="S5" i="3"/>
  <c r="S10" i="3"/>
  <c r="S7" i="3"/>
  <c r="T11" i="3"/>
  <c r="T8" i="3"/>
  <c r="V5" i="3"/>
  <c r="V10" i="3"/>
  <c r="V7" i="3"/>
  <c r="W11" i="3"/>
  <c r="W8" i="3"/>
  <c r="Y5" i="3"/>
  <c r="Y10" i="3"/>
  <c r="Y7" i="3"/>
  <c r="AC10" i="3"/>
  <c r="AC7" i="3"/>
  <c r="O14" i="3"/>
  <c r="O26" i="4" s="1"/>
  <c r="I14" i="3"/>
  <c r="I26" i="4" s="1"/>
  <c r="F14" i="3"/>
  <c r="F26" i="4" s="1"/>
  <c r="R11" i="3"/>
  <c r="R8" i="3"/>
  <c r="T5" i="3"/>
  <c r="S9" i="3"/>
  <c r="S6" i="3"/>
  <c r="T10" i="3"/>
  <c r="U11" i="3"/>
  <c r="U8" i="3"/>
  <c r="W5" i="3"/>
  <c r="V9" i="3"/>
  <c r="V6" i="3"/>
  <c r="W10" i="3"/>
  <c r="X11" i="3"/>
  <c r="X8" i="3"/>
  <c r="Y9" i="3"/>
  <c r="Y6" i="3"/>
  <c r="AA11" i="3"/>
  <c r="AA8" i="3"/>
  <c r="AC5" i="3"/>
  <c r="AC9" i="3"/>
  <c r="L26" i="4"/>
  <c r="J26" i="4"/>
  <c r="V13" i="4"/>
  <c r="Y9" i="4"/>
  <c r="S6" i="4"/>
  <c r="AB20" i="4"/>
  <c r="V17" i="4"/>
  <c r="Y15" i="4"/>
  <c r="AB12" i="4"/>
  <c r="AB7" i="4"/>
  <c r="S23" i="4"/>
  <c r="AB19" i="4"/>
  <c r="Y16" i="4"/>
  <c r="AB13" i="4"/>
  <c r="S12" i="4"/>
  <c r="AB6" i="4"/>
  <c r="V22" i="4"/>
  <c r="S19" i="4"/>
  <c r="E26" i="4"/>
  <c r="H26" i="4"/>
  <c r="K26" i="4"/>
  <c r="N26" i="4"/>
  <c r="Z14" i="4"/>
  <c r="Z10" i="4"/>
  <c r="AC23" i="4"/>
  <c r="T16" i="4"/>
  <c r="Z16" i="4"/>
  <c r="V15" i="4"/>
  <c r="W14" i="4"/>
  <c r="Y13" i="4"/>
  <c r="T13" i="4"/>
  <c r="Y12" i="4"/>
  <c r="AC11" i="4"/>
  <c r="AC10" i="4"/>
  <c r="Y10" i="4"/>
  <c r="S10" i="4"/>
  <c r="V9" i="4"/>
  <c r="Z8" i="4"/>
  <c r="Z7" i="4"/>
  <c r="V7" i="4"/>
  <c r="Y6" i="4"/>
  <c r="Z5" i="4"/>
  <c r="AB23" i="4"/>
  <c r="V23" i="4"/>
  <c r="AB22" i="4"/>
  <c r="S22" i="4"/>
  <c r="V20" i="4"/>
  <c r="Y19" i="4"/>
  <c r="AB17" i="4"/>
  <c r="S17" i="4"/>
  <c r="AC16" i="4"/>
  <c r="T11" i="4"/>
  <c r="T10" i="4"/>
  <c r="AC8" i="4"/>
  <c r="W7" i="4"/>
  <c r="W23" i="4"/>
  <c r="W20" i="4"/>
  <c r="V16" i="4"/>
  <c r="AB16" i="4"/>
  <c r="AB15" i="4"/>
  <c r="S15" i="4"/>
  <c r="AC13" i="4"/>
  <c r="W13" i="4"/>
  <c r="S13" i="4"/>
  <c r="V12" i="4"/>
  <c r="W11" i="4"/>
  <c r="AB10" i="4"/>
  <c r="V10" i="4"/>
  <c r="AB9" i="4"/>
  <c r="S9" i="4"/>
  <c r="T8" i="4"/>
  <c r="Y7" i="4"/>
  <c r="S7" i="4"/>
  <c r="V6" i="4"/>
  <c r="Y23" i="4"/>
  <c r="Y22" i="4"/>
  <c r="Y20" i="4"/>
  <c r="S20" i="4"/>
  <c r="V19" i="4"/>
  <c r="Y17" i="4"/>
  <c r="R7" i="4"/>
  <c r="R10" i="4"/>
  <c r="R13" i="4"/>
  <c r="R18" i="4"/>
  <c r="R21" i="4"/>
  <c r="U18" i="4"/>
  <c r="U17" i="4"/>
  <c r="U20" i="4"/>
  <c r="U23" i="4"/>
  <c r="U7" i="4"/>
  <c r="U10" i="4"/>
  <c r="U13" i="4"/>
  <c r="U16" i="4"/>
  <c r="U19" i="4"/>
  <c r="X18" i="4"/>
  <c r="X17" i="4"/>
  <c r="X20" i="4"/>
  <c r="X23" i="4"/>
  <c r="X7" i="4"/>
  <c r="X10" i="4"/>
  <c r="X13" i="4"/>
  <c r="X16" i="4"/>
  <c r="X19" i="4"/>
  <c r="AA18" i="4"/>
  <c r="AA17" i="4"/>
  <c r="AA20" i="4"/>
  <c r="AA23" i="4"/>
  <c r="AA7" i="4"/>
  <c r="AA10" i="4"/>
  <c r="AA13" i="4"/>
  <c r="AA16" i="4"/>
  <c r="AA19" i="4"/>
  <c r="R16" i="4"/>
  <c r="R20" i="4"/>
  <c r="R14" i="4"/>
  <c r="R9" i="4"/>
  <c r="R5" i="4"/>
  <c r="U15" i="4"/>
  <c r="AA14" i="4"/>
  <c r="AA12" i="4"/>
  <c r="X11" i="4"/>
  <c r="X9" i="4"/>
  <c r="U8" i="4"/>
  <c r="U6" i="4"/>
  <c r="AA5" i="4"/>
  <c r="AA22" i="4"/>
  <c r="X21" i="4"/>
  <c r="R23" i="4"/>
  <c r="R19" i="4"/>
  <c r="R12" i="4"/>
  <c r="R8" i="4"/>
  <c r="X15" i="4"/>
  <c r="U14" i="4"/>
  <c r="U12" i="4"/>
  <c r="AA11" i="4"/>
  <c r="AA9" i="4"/>
  <c r="X8" i="4"/>
  <c r="X6" i="4"/>
  <c r="U5" i="4"/>
  <c r="U22" i="4"/>
  <c r="AA21" i="4"/>
  <c r="U21" i="4"/>
  <c r="T17" i="4"/>
  <c r="T19" i="4"/>
  <c r="T22" i="4"/>
  <c r="T6" i="4"/>
  <c r="T9" i="4"/>
  <c r="T12" i="4"/>
  <c r="T15" i="4"/>
  <c r="T18" i="4"/>
  <c r="T21" i="4"/>
  <c r="W17" i="4"/>
  <c r="W19" i="4"/>
  <c r="W22" i="4"/>
  <c r="W6" i="4"/>
  <c r="W9" i="4"/>
  <c r="W12" i="4"/>
  <c r="W15" i="4"/>
  <c r="W18" i="4"/>
  <c r="W21" i="4"/>
  <c r="Z17" i="4"/>
  <c r="Z19" i="4"/>
  <c r="Z22" i="4"/>
  <c r="Z6" i="4"/>
  <c r="Z9" i="4"/>
  <c r="Z12" i="4"/>
  <c r="Z15" i="4"/>
  <c r="Z18" i="4"/>
  <c r="AC17" i="4"/>
  <c r="AC19" i="4"/>
  <c r="AC22" i="4"/>
  <c r="AC6" i="4"/>
  <c r="AC9" i="4"/>
  <c r="AC12" i="4"/>
  <c r="AC15" i="4"/>
  <c r="AC18" i="4"/>
  <c r="R22" i="4"/>
  <c r="R17" i="4"/>
  <c r="W16" i="4"/>
  <c r="R15" i="4"/>
  <c r="R11" i="4"/>
  <c r="R6" i="4"/>
  <c r="AA15" i="4"/>
  <c r="AC14" i="4"/>
  <c r="X14" i="4"/>
  <c r="T14" i="4"/>
  <c r="Z13" i="4"/>
  <c r="X12" i="4"/>
  <c r="Z11" i="4"/>
  <c r="U11" i="4"/>
  <c r="W10" i="4"/>
  <c r="U9" i="4"/>
  <c r="AA8" i="4"/>
  <c r="W8" i="4"/>
  <c r="AC7" i="4"/>
  <c r="T7" i="4"/>
  <c r="AA6" i="4"/>
  <c r="AC5" i="4"/>
  <c r="X5" i="4"/>
  <c r="T5" i="4"/>
  <c r="Z23" i="4"/>
  <c r="X22" i="4"/>
  <c r="Z21" i="4"/>
  <c r="AC20" i="4"/>
  <c r="T20" i="4"/>
  <c r="S16" i="4"/>
  <c r="AB14" i="4"/>
  <c r="Y14" i="4"/>
  <c r="V14" i="4"/>
  <c r="S14" i="4"/>
  <c r="AB11" i="4"/>
  <c r="Y11" i="4"/>
  <c r="V11" i="4"/>
  <c r="S11" i="4"/>
  <c r="AB8" i="4"/>
  <c r="Y8" i="4"/>
  <c r="V8" i="4"/>
  <c r="S8" i="4"/>
  <c r="AB5" i="4"/>
  <c r="Y5" i="4"/>
  <c r="V5" i="4"/>
  <c r="S5" i="4"/>
  <c r="AB21" i="4"/>
  <c r="Y21" i="4"/>
  <c r="V21" i="4"/>
  <c r="S21" i="4"/>
  <c r="D26" i="4"/>
  <c r="AD2" i="2"/>
  <c r="M3" i="4" l="1"/>
  <c r="AA3" i="4" s="1"/>
  <c r="J3" i="4"/>
  <c r="X3" i="4" s="1"/>
  <c r="G3" i="4"/>
  <c r="U3" i="4" s="1"/>
  <c r="D3" i="4"/>
  <c r="R3" i="4" s="1"/>
  <c r="O3" i="4"/>
  <c r="AC3" i="4" s="1"/>
  <c r="L3" i="4"/>
  <c r="Z3" i="4" s="1"/>
  <c r="I3" i="4"/>
  <c r="W3" i="4" s="1"/>
  <c r="F3" i="4"/>
  <c r="T3" i="4" s="1"/>
  <c r="N3" i="4"/>
  <c r="AB3" i="4" s="1"/>
  <c r="K3" i="4"/>
  <c r="Y3" i="4" s="1"/>
  <c r="H3" i="4"/>
  <c r="V3" i="4" s="1"/>
  <c r="E3" i="4"/>
  <c r="S3" i="4" s="1"/>
  <c r="N3" i="3"/>
  <c r="AB3" i="3" s="1"/>
  <c r="K3" i="3"/>
  <c r="Y3" i="3" s="1"/>
  <c r="H3" i="3"/>
  <c r="V3" i="3" s="1"/>
  <c r="E3" i="3"/>
  <c r="S3" i="3" s="1"/>
  <c r="M3" i="3"/>
  <c r="AA3" i="3" s="1"/>
  <c r="J3" i="3"/>
  <c r="X3" i="3" s="1"/>
  <c r="G3" i="3"/>
  <c r="U3" i="3" s="1"/>
  <c r="D3" i="3"/>
  <c r="R3" i="3" s="1"/>
  <c r="O3" i="3"/>
  <c r="AC3" i="3" s="1"/>
  <c r="L3" i="3"/>
  <c r="Z3" i="3" s="1"/>
  <c r="I3" i="3"/>
  <c r="W3" i="3" s="1"/>
  <c r="F3" i="3"/>
  <c r="T3" i="3" s="1"/>
  <c r="N3" i="2"/>
  <c r="K3" i="2"/>
  <c r="H3" i="2"/>
  <c r="V3" i="2" s="1"/>
  <c r="E3" i="2"/>
  <c r="M3" i="2"/>
  <c r="J3" i="2"/>
  <c r="X3" i="2" s="1"/>
  <c r="G3" i="2"/>
  <c r="D3" i="2"/>
  <c r="R3" i="2" s="1"/>
  <c r="O3" i="2"/>
  <c r="L3" i="2"/>
  <c r="I3" i="2"/>
  <c r="W3" i="2" s="1"/>
  <c r="F3" i="2"/>
  <c r="AD2" i="4"/>
  <c r="AD2" i="3"/>
  <c r="AC24" i="4" l="1"/>
  <c r="AB24" i="4"/>
  <c r="Y24" i="4"/>
  <c r="X24" i="4"/>
  <c r="U24" i="4"/>
  <c r="T24" i="4"/>
  <c r="P24" i="4"/>
  <c r="P12" i="3"/>
  <c r="P14" i="3" l="1"/>
  <c r="AD23" i="4"/>
  <c r="AD17" i="4"/>
  <c r="AD18" i="4"/>
  <c r="AD20" i="4"/>
  <c r="AD21" i="4"/>
  <c r="AD19" i="4"/>
  <c r="AD22" i="4"/>
  <c r="AD7" i="4"/>
  <c r="AD9" i="4"/>
  <c r="AD14" i="4"/>
  <c r="AD13" i="4"/>
  <c r="AD15" i="4"/>
  <c r="AD6" i="4"/>
  <c r="AD11" i="4"/>
  <c r="AD10" i="4"/>
  <c r="AD12" i="4"/>
  <c r="AD5" i="4"/>
  <c r="AD8" i="4"/>
  <c r="AD16" i="4"/>
  <c r="AD5" i="3"/>
  <c r="AD9" i="3"/>
  <c r="AD8" i="3"/>
  <c r="AD10" i="3"/>
  <c r="AD6" i="3"/>
  <c r="AD7" i="3"/>
  <c r="AD11" i="3"/>
  <c r="AD5" i="2"/>
  <c r="AD6" i="2"/>
  <c r="AD9" i="2"/>
  <c r="AD8" i="2"/>
  <c r="AD10" i="2"/>
  <c r="AD11" i="2"/>
  <c r="AD7" i="2"/>
  <c r="AC12" i="2"/>
  <c r="S12" i="2"/>
  <c r="Z24" i="4"/>
  <c r="V24" i="4"/>
  <c r="R24" i="4"/>
  <c r="S24" i="4"/>
  <c r="W24" i="4"/>
  <c r="AA24" i="4"/>
  <c r="AB12" i="3"/>
  <c r="Z12" i="2"/>
  <c r="V12" i="2"/>
  <c r="R12" i="2"/>
  <c r="AA12" i="2"/>
  <c r="W12" i="2"/>
  <c r="Z12" i="3"/>
  <c r="S12" i="3"/>
  <c r="AA12" i="3"/>
  <c r="AC3" i="2"/>
  <c r="AB3" i="2"/>
  <c r="AA3" i="2"/>
  <c r="Z3" i="2"/>
  <c r="Y3" i="2"/>
  <c r="U3" i="2"/>
  <c r="T3" i="2"/>
  <c r="S3" i="2"/>
  <c r="W12" i="3" l="1"/>
  <c r="V12" i="3"/>
  <c r="Y12" i="3"/>
  <c r="AC12" i="3"/>
  <c r="X12" i="3"/>
  <c r="T12" i="3"/>
  <c r="R12" i="3"/>
  <c r="U12" i="3"/>
  <c r="X12" i="2"/>
  <c r="AB12" i="2"/>
  <c r="T12" i="2"/>
  <c r="U12" i="2"/>
  <c r="Y12" i="2"/>
  <c r="AD24" i="4"/>
  <c r="P26" i="4"/>
  <c r="X26" i="4" s="1"/>
  <c r="AD12" i="2"/>
  <c r="Z14" i="3"/>
  <c r="AD12" i="3" l="1"/>
  <c r="T26" i="4"/>
  <c r="V26" i="4"/>
  <c r="AB26" i="4"/>
  <c r="U26" i="4"/>
  <c r="R26" i="4"/>
  <c r="AD26" i="4"/>
  <c r="S26" i="4"/>
  <c r="W26" i="4"/>
  <c r="AA26" i="4"/>
  <c r="AC26" i="4"/>
  <c r="Z26" i="4"/>
  <c r="Y26" i="4"/>
  <c r="AA14" i="3"/>
  <c r="U14" i="3"/>
  <c r="AD14" i="3"/>
  <c r="V14" i="3"/>
  <c r="T14" i="3"/>
  <c r="X14" i="3"/>
  <c r="W14" i="3"/>
  <c r="AB14" i="3"/>
  <c r="Y14" i="3"/>
  <c r="AC14" i="3"/>
  <c r="R14" i="3"/>
  <c r="S14" i="3"/>
</calcChain>
</file>

<file path=xl/sharedStrings.xml><?xml version="1.0" encoding="utf-8"?>
<sst xmlns="http://schemas.openxmlformats.org/spreadsheetml/2006/main" count="161" uniqueCount="78">
  <si>
    <t>Δωδεκάμηνο</t>
  </si>
  <si>
    <t>ΠΡΟΒΟΛΗ ΚΕΡΔΩΝ ΚΑΙ ΖΗΜΙΩΝ</t>
  </si>
  <si>
    <t>ΕΣΟΔΑ (ΠΩΛΗΣΕΙΣ)</t>
  </si>
  <si>
    <t>Έσοδο 1</t>
  </si>
  <si>
    <t>Έσοδο 2</t>
  </si>
  <si>
    <t>Έσοδο 3</t>
  </si>
  <si>
    <t>Έσοδο 4</t>
  </si>
  <si>
    <t>Έσοδο 5</t>
  </si>
  <si>
    <t>Έσοδο 6</t>
  </si>
  <si>
    <t>Έσοδο 7</t>
  </si>
  <si>
    <t>ΣΥΝΟΛΙΚΕΣ ΠΩΛΗΣΕΙΣ</t>
  </si>
  <si>
    <t>ΤΑΣΗ</t>
  </si>
  <si>
    <t>Ιαν</t>
  </si>
  <si>
    <t>Φεβ</t>
  </si>
  <si>
    <t>Μαρ</t>
  </si>
  <si>
    <t>Απρ</t>
  </si>
  <si>
    <t>Σεπ</t>
  </si>
  <si>
    <t>Οκτ</t>
  </si>
  <si>
    <t>Δεκ</t>
  </si>
  <si>
    <t>ΕΤΗΣΙΑ</t>
  </si>
  <si>
    <t>Ετήσια</t>
  </si>
  <si>
    <t>ΤΟ ΟΙΚΟΝΟΜΙΚΟ ΕΤΟΣ ΞΕΚΙΝΑ:</t>
  </si>
  <si>
    <t>ΙΑΝ</t>
  </si>
  <si>
    <t>Επωνυμία εταιρείας</t>
  </si>
  <si>
    <t>ΚΟΣΤΟΣ ΠΩΛΗΣΕΩΝ</t>
  </si>
  <si>
    <t>Κόστος 1</t>
  </si>
  <si>
    <t>Κόστος 2</t>
  </si>
  <si>
    <t>Κόστος 3</t>
  </si>
  <si>
    <t>Κόστος 4</t>
  </si>
  <si>
    <t>Κόστος 5</t>
  </si>
  <si>
    <t>Κόστος 6</t>
  </si>
  <si>
    <t>Κόστος 7</t>
  </si>
  <si>
    <t>ΣΥΝΟΛΙΚΟ ΚΟΣΤΟΣ ΠΩΛΗΣΕΩΝ</t>
  </si>
  <si>
    <t>Μικτό κέρδος</t>
  </si>
  <si>
    <t>ΟΙΚΟΝΟΜΙΚΟ ΕΤΟΣ:</t>
  </si>
  <si>
    <t>ΕΞΟΔΑ</t>
  </si>
  <si>
    <t xml:space="preserve">Έξοδα μισθών </t>
  </si>
  <si>
    <t xml:space="preserve">Έξοδα μισθοδοσίας </t>
  </si>
  <si>
    <t>Εξωτερικές υπηρεσίες</t>
  </si>
  <si>
    <t>Προμήθειες (γραφείου και λειτουργικές)</t>
  </si>
  <si>
    <t>Επισκευές και συντήρηση</t>
  </si>
  <si>
    <t>Διαφήμιση</t>
  </si>
  <si>
    <t>Αυτοκίνητο, παράδοση και ταξίδια</t>
  </si>
  <si>
    <t>Λογιστικές και νομικές υπηρεσίες</t>
  </si>
  <si>
    <t>Ενοίκιο</t>
  </si>
  <si>
    <t>Τηλέφωνο</t>
  </si>
  <si>
    <t>Υπηρεσίες κοινής ωφελείας</t>
  </si>
  <si>
    <t>Ασφάλιση</t>
  </si>
  <si>
    <t>Φόροι (ακινήτων κ.λπ.)</t>
  </si>
  <si>
    <t>Τόκοι</t>
  </si>
  <si>
    <t>Αποσβέσεις</t>
  </si>
  <si>
    <t>Άλλα έξοδα (προσδιορίστε)</t>
  </si>
  <si>
    <t>Διάφορα (μη προσδιορισμένα)</t>
  </si>
  <si>
    <t>ΣΥΝΟΛΙΚΑ ΕΞΟΔΑ</t>
  </si>
  <si>
    <t>Καθαρό κέρδος</t>
  </si>
  <si>
    <t xml:space="preserve"> </t>
  </si>
  <si>
    <t>Στήλη1</t>
  </si>
  <si>
    <t>Μαϊ</t>
  </si>
  <si>
    <t>Ιουν</t>
  </si>
  <si>
    <t>Ιουλ</t>
  </si>
  <si>
    <t>Αυγ</t>
  </si>
  <si>
    <t>Νοε</t>
  </si>
  <si>
    <t>ΔΕΙΚ %</t>
  </si>
  <si>
    <t>ΕΤΟΥΣ %</t>
  </si>
  <si>
    <t>δείκτης %</t>
  </si>
  <si>
    <t>Ιαν %</t>
  </si>
  <si>
    <t>Φεβ %</t>
  </si>
  <si>
    <t>Απρ %</t>
  </si>
  <si>
    <t>Μαϊ %</t>
  </si>
  <si>
    <t>Ιουν %</t>
  </si>
  <si>
    <t>Ιουλ %</t>
  </si>
  <si>
    <t>Αυγ %</t>
  </si>
  <si>
    <t>Σεπ %</t>
  </si>
  <si>
    <t>Οκτ %</t>
  </si>
  <si>
    <t>Νοε %</t>
  </si>
  <si>
    <t>Δεκ %</t>
  </si>
  <si>
    <t>έτους %</t>
  </si>
  <si>
    <t>Μαρ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</si>
</sst>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0%;;&quot;-&quot;;"/>
    <numFmt numFmtId="168" formatCode="[$-408]mmm\-yy;@"/>
  </numFmts>
  <fonts count="30" x14ac:knownFonts="1">
    <font>
      <sz val="11"/>
      <color theme="1"/>
      <name val="Tahoma"/>
      <family val="2"/>
      <charset val="161"/>
    </font>
    <font>
      <b/>
      <sz val="12"/>
      <color theme="8"/>
      <name val="Bookman Old Style"/>
      <family val="1"/>
      <scheme val="major"/>
    </font>
    <font>
      <sz val="11"/>
      <color theme="3"/>
      <name val="Bookman Old Style"/>
      <family val="1"/>
      <scheme val="major"/>
    </font>
    <font>
      <sz val="11"/>
      <color theme="1"/>
      <name val="Tahoma"/>
      <family val="2"/>
      <charset val="161"/>
    </font>
    <font>
      <b/>
      <sz val="22"/>
      <color theme="3"/>
      <name val="Tahoma"/>
      <family val="2"/>
      <charset val="161"/>
    </font>
    <font>
      <b/>
      <sz val="26"/>
      <color theme="3"/>
      <name val="Tahoma"/>
      <family val="2"/>
      <charset val="161"/>
    </font>
    <font>
      <b/>
      <sz val="11"/>
      <color theme="8"/>
      <name val="Tahoma"/>
      <family val="2"/>
      <charset val="161"/>
    </font>
    <font>
      <b/>
      <sz val="12"/>
      <color theme="3"/>
      <name val="Tahoma"/>
      <family val="2"/>
      <charset val="161"/>
    </font>
    <font>
      <b/>
      <sz val="12"/>
      <color theme="0"/>
      <name val="Tahoma"/>
      <family val="2"/>
      <charset val="161"/>
    </font>
    <font>
      <b/>
      <sz val="11"/>
      <color theme="0"/>
      <name val="Tahoma"/>
      <family val="2"/>
      <charset val="161"/>
    </font>
    <font>
      <b/>
      <i/>
      <sz val="16"/>
      <color theme="7" tint="-0.24994659260841701"/>
      <name val="Bookman Old Style"/>
      <family val="1"/>
      <charset val="161"/>
      <scheme val="major"/>
    </font>
    <font>
      <b/>
      <i/>
      <sz val="22"/>
      <color theme="7"/>
      <name val="Bookman Old Style"/>
      <family val="1"/>
      <charset val="161"/>
      <scheme val="major"/>
    </font>
    <font>
      <b/>
      <i/>
      <sz val="22"/>
      <color theme="7" tint="-0.24994659260841701"/>
      <name val="Bookman Old Style"/>
      <family val="1"/>
      <charset val="161"/>
      <scheme val="major"/>
    </font>
    <font>
      <b/>
      <sz val="12"/>
      <color theme="8"/>
      <name val="Bookman Old Style"/>
      <family val="1"/>
      <charset val="161"/>
      <scheme val="major"/>
    </font>
    <font>
      <sz val="11"/>
      <color theme="3"/>
      <name val="Bookman Old Style"/>
      <family val="1"/>
      <charset val="161"/>
      <scheme val="major"/>
    </font>
    <font>
      <sz val="10"/>
      <color theme="1"/>
      <name val="Tahoma"/>
      <family val="2"/>
      <charset val="161"/>
    </font>
    <font>
      <sz val="11"/>
      <name val="Tahoma"/>
      <family val="2"/>
      <charset val="161"/>
    </font>
    <font>
      <i/>
      <sz val="16"/>
      <color theme="7" tint="-0.24994659260841701"/>
      <name val="Bookman Old Style"/>
      <family val="1"/>
      <scheme val="major"/>
    </font>
    <font>
      <i/>
      <sz val="22"/>
      <color theme="7" tint="-0.24994659260841701"/>
      <name val="Bookman Old Style"/>
      <family val="1"/>
      <scheme val="major"/>
    </font>
    <font>
      <sz val="11"/>
      <color theme="0"/>
      <name val="Tahoma"/>
      <family val="2"/>
      <charset val="161"/>
    </font>
    <font>
      <sz val="11"/>
      <color rgb="FF9C0006"/>
      <name val="Tahoma"/>
      <family val="2"/>
      <charset val="161"/>
    </font>
    <font>
      <sz val="11"/>
      <color rgb="FF006100"/>
      <name val="Tahoma"/>
      <family val="2"/>
      <charset val="161"/>
    </font>
    <font>
      <sz val="11"/>
      <color rgb="FF9C6500"/>
      <name val="Tahoma"/>
      <family val="2"/>
      <charset val="161"/>
    </font>
    <font>
      <sz val="11"/>
      <color rgb="FF3F3F76"/>
      <name val="Tahoma"/>
      <family val="2"/>
      <charset val="161"/>
    </font>
    <font>
      <b/>
      <sz val="11"/>
      <color rgb="FF3F3F3F"/>
      <name val="Tahoma"/>
      <family val="2"/>
      <charset val="161"/>
    </font>
    <font>
      <i/>
      <sz val="11"/>
      <color rgb="FF7F7F7F"/>
      <name val="Tahoma"/>
      <family val="2"/>
      <charset val="161"/>
    </font>
    <font>
      <sz val="11"/>
      <color rgb="FFFF0000"/>
      <name val="Tahoma"/>
      <family val="2"/>
      <charset val="161"/>
    </font>
    <font>
      <sz val="11"/>
      <color rgb="FFFA7D00"/>
      <name val="Tahoma"/>
      <family val="2"/>
      <charset val="161"/>
    </font>
    <font>
      <b/>
      <sz val="11"/>
      <color rgb="FFFA7D00"/>
      <name val="Tahoma"/>
      <family val="2"/>
      <charset val="161"/>
    </font>
    <font>
      <b/>
      <sz val="11"/>
      <color theme="1"/>
      <name val="Tahoma"/>
      <family val="2"/>
      <charset val="161"/>
    </font>
  </fonts>
  <fills count="37">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9" fontId="16" fillId="0" borderId="0" applyFill="0" applyBorder="0" applyProtection="0">
      <alignment horizontal="right"/>
    </xf>
    <xf numFmtId="0" fontId="4" fillId="0" borderId="0" applyNumberFormat="0" applyFill="0" applyBorder="0" applyProtection="0">
      <alignment vertical="center"/>
    </xf>
    <xf numFmtId="0" fontId="17" fillId="0" borderId="3" applyProtection="0">
      <alignment vertical="center"/>
    </xf>
    <xf numFmtId="165" fontId="3" fillId="0" borderId="0" applyFill="0" applyBorder="0" applyAlignment="0" applyProtection="0"/>
    <xf numFmtId="164" fontId="3" fillId="0" borderId="0" applyFill="0" applyBorder="0" applyAlignment="0" applyProtection="0"/>
    <xf numFmtId="42" fontId="16" fillId="0" borderId="0" applyFill="0" applyBorder="0" applyAlignment="0" applyProtection="0"/>
    <xf numFmtId="0" fontId="3" fillId="4" borderId="1" applyNumberFormat="0" applyAlignment="0" applyProtection="0"/>
    <xf numFmtId="0" fontId="8" fillId="2" borderId="0">
      <alignment horizontal="right" vertical="center" indent="1"/>
    </xf>
    <xf numFmtId="42" fontId="9" fillId="2" borderId="0" applyBorder="0" applyAlignment="0" applyProtection="0"/>
    <xf numFmtId="9" fontId="9" fillId="2" borderId="0" applyBorder="0" applyAlignment="0" applyProtection="0"/>
    <xf numFmtId="0" fontId="3" fillId="0" borderId="0">
      <alignment horizontal="right" wrapText="1" indent="1"/>
    </xf>
    <xf numFmtId="0" fontId="18" fillId="0" borderId="0" applyFill="0" applyProtection="0">
      <alignment horizontal="right" vertical="center"/>
    </xf>
    <xf numFmtId="0" fontId="1" fillId="0" borderId="0" applyFill="0" applyProtection="0">
      <alignment horizontal="right" vertical="center"/>
    </xf>
    <xf numFmtId="168" fontId="2" fillId="0" borderId="2" applyFill="0" applyProtection="0">
      <alignment horizontal="center" vertical="center"/>
    </xf>
    <xf numFmtId="0" fontId="7" fillId="0" borderId="0">
      <alignment horizontal="right" indent="1"/>
    </xf>
    <xf numFmtId="42" fontId="3" fillId="5" borderId="4" applyNumberFormat="0" applyAlignment="0">
      <alignment horizontal="center"/>
    </xf>
    <xf numFmtId="42" fontId="16" fillId="3" borderId="4" applyNumberFormat="0" applyFont="0" applyAlignment="0"/>
    <xf numFmtId="42" fontId="16" fillId="6" borderId="4" applyNumberFormat="0" applyAlignment="0"/>
    <xf numFmtId="44" fontId="3" fillId="0" borderId="0" applyFill="0" applyBorder="0" applyAlignment="0" applyProtection="0"/>
    <xf numFmtId="0" fontId="21" fillId="7" borderId="0" applyNumberFormat="0" applyBorder="0" applyAlignment="0" applyProtection="0"/>
    <xf numFmtId="0" fontId="20" fillId="8" borderId="0" applyNumberFormat="0" applyBorder="0" applyAlignment="0" applyProtection="0"/>
    <xf numFmtId="0" fontId="22" fillId="9" borderId="0" applyNumberFormat="0" applyBorder="0" applyAlignment="0" applyProtection="0"/>
    <xf numFmtId="0" fontId="23" fillId="10" borderId="5" applyNumberFormat="0" applyAlignment="0" applyProtection="0"/>
    <xf numFmtId="0" fontId="24" fillId="11" borderId="6" applyNumberFormat="0" applyAlignment="0" applyProtection="0"/>
    <xf numFmtId="0" fontId="28" fillId="11" borderId="5" applyNumberFormat="0" applyAlignment="0" applyProtection="0"/>
    <xf numFmtId="0" fontId="27" fillId="0" borderId="7" applyNumberFormat="0" applyFill="0" applyAlignment="0" applyProtection="0"/>
    <xf numFmtId="0" fontId="9" fillId="12" borderId="8"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9" fillId="0" borderId="9" applyNumberFormat="0" applyFill="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9" fillId="36" borderId="0" applyNumberFormat="0" applyBorder="0" applyAlignment="0" applyProtection="0"/>
  </cellStyleXfs>
  <cellXfs count="51">
    <xf numFmtId="0" fontId="0" fillId="0" borderId="0" xfId="0"/>
    <xf numFmtId="0" fontId="3" fillId="0" borderId="0" xfId="0" applyNumberFormat="1" applyFont="1"/>
    <xf numFmtId="0" fontId="3" fillId="0" borderId="0" xfId="0" applyFont="1"/>
    <xf numFmtId="0" fontId="3" fillId="0" borderId="0" xfId="0" applyFont="1" applyAlignment="1">
      <alignment horizontal="center"/>
    </xf>
    <xf numFmtId="0" fontId="4" fillId="0" borderId="0" xfId="2" applyFont="1" applyBorder="1">
      <alignment vertical="center"/>
    </xf>
    <xf numFmtId="0" fontId="5" fillId="0" borderId="0" xfId="0" applyFont="1" applyBorder="1" applyAlignment="1">
      <alignment vertical="center"/>
    </xf>
    <xf numFmtId="0" fontId="6" fillId="0" borderId="0" xfId="0" applyFont="1"/>
    <xf numFmtId="0" fontId="7" fillId="0" borderId="0" xfId="15" applyFont="1">
      <alignment horizontal="right" indent="1"/>
    </xf>
    <xf numFmtId="166" fontId="3" fillId="0" borderId="0" xfId="0" applyNumberFormat="1" applyFont="1" applyFill="1" applyBorder="1" applyAlignment="1">
      <alignment horizontal="center"/>
    </xf>
    <xf numFmtId="0" fontId="3" fillId="0" borderId="0" xfId="11" applyFont="1" applyFill="1" applyBorder="1">
      <alignment horizontal="right" wrapText="1" indent="1"/>
    </xf>
    <xf numFmtId="0" fontId="3" fillId="3" borderId="4" xfId="17" applyNumberFormat="1" applyFont="1"/>
    <xf numFmtId="42" fontId="3" fillId="0" borderId="0" xfId="6" applyFont="1" applyFill="1" applyBorder="1"/>
    <xf numFmtId="9" fontId="3" fillId="0" borderId="0" xfId="1" applyFont="1" applyFill="1" applyBorder="1" applyAlignment="1">
      <alignment horizontal="right"/>
    </xf>
    <xf numFmtId="0" fontId="3" fillId="0" borderId="0" xfId="0" applyFont="1" applyAlignment="1"/>
    <xf numFmtId="0" fontId="3" fillId="0" borderId="0" xfId="0" applyFont="1" applyFill="1" applyBorder="1" applyAlignment="1">
      <alignment horizontal="right" indent="1"/>
    </xf>
    <xf numFmtId="0" fontId="3" fillId="0" borderId="0" xfId="0" applyFont="1" applyFill="1" applyBorder="1"/>
    <xf numFmtId="9" fontId="3" fillId="0" borderId="0" xfId="0" applyNumberFormat="1" applyFont="1" applyFill="1" applyBorder="1" applyAlignment="1">
      <alignment horizontal="right"/>
    </xf>
    <xf numFmtId="0" fontId="8" fillId="2" borderId="0" xfId="8" applyFont="1">
      <alignment horizontal="right" vertical="center" indent="1"/>
    </xf>
    <xf numFmtId="42" fontId="9" fillId="2" borderId="0" xfId="9" applyFont="1" applyFill="1" applyAlignment="1">
      <alignment horizontal="right" vertical="center" indent="1"/>
    </xf>
    <xf numFmtId="9" fontId="9" fillId="2" borderId="0" xfId="10" applyFont="1" applyFill="1" applyAlignment="1">
      <alignment horizontal="right" vertical="center" indent="1"/>
    </xf>
    <xf numFmtId="0" fontId="10" fillId="0" borderId="3" xfId="3" applyFont="1">
      <alignment vertical="center"/>
    </xf>
    <xf numFmtId="0" fontId="11" fillId="0" borderId="0" xfId="0" applyFont="1" applyBorder="1" applyAlignment="1">
      <alignment horizontal="right" vertical="center"/>
    </xf>
    <xf numFmtId="0" fontId="12" fillId="0" borderId="0" xfId="12" applyFont="1">
      <alignment horizontal="right" vertical="center"/>
    </xf>
    <xf numFmtId="0" fontId="13" fillId="0" borderId="0" xfId="13" applyFont="1">
      <alignment horizontal="right" vertical="center"/>
    </xf>
    <xf numFmtId="168" fontId="14" fillId="0" borderId="2" xfId="14" applyFont="1">
      <alignment horizontal="center" vertical="center"/>
    </xf>
    <xf numFmtId="0" fontId="4" fillId="0" borderId="0" xfId="2" applyFont="1" applyBorder="1" applyAlignment="1">
      <alignment vertical="center"/>
    </xf>
    <xf numFmtId="0" fontId="3" fillId="0" borderId="0" xfId="11" applyFont="1">
      <alignment horizontal="right" wrapText="1" indent="1"/>
    </xf>
    <xf numFmtId="0" fontId="15" fillId="5" borderId="4" xfId="16" applyNumberFormat="1" applyFont="1" applyAlignment="1">
      <alignment horizontal="center"/>
    </xf>
    <xf numFmtId="42" fontId="16" fillId="5" borderId="4" xfId="6" applyFont="1" applyFill="1" applyBorder="1" applyAlignment="1">
      <alignment horizontal="center"/>
    </xf>
    <xf numFmtId="9" fontId="16" fillId="0" borderId="0" xfId="1" applyFont="1" applyFill="1" applyBorder="1" applyAlignment="1">
      <alignment horizontal="right"/>
    </xf>
    <xf numFmtId="9" fontId="16" fillId="5" borderId="4" xfId="1" applyFont="1" applyFill="1" applyBorder="1" applyAlignment="1">
      <alignment horizontal="right"/>
    </xf>
    <xf numFmtId="9" fontId="3" fillId="0" borderId="0" xfId="0" applyNumberFormat="1" applyFont="1"/>
    <xf numFmtId="0" fontId="13" fillId="0" borderId="0" xfId="13" applyNumberFormat="1" applyFont="1">
      <alignment horizontal="right" vertical="center"/>
    </xf>
    <xf numFmtId="168" fontId="14" fillId="0" borderId="2" xfId="14" applyNumberFormat="1" applyFont="1">
      <alignment horizontal="center" vertical="center"/>
    </xf>
    <xf numFmtId="42" fontId="9" fillId="2" borderId="0" xfId="9" applyNumberFormat="1" applyFont="1" applyFill="1" applyAlignment="1">
      <alignment horizontal="right" vertical="center" indent="1"/>
    </xf>
    <xf numFmtId="0" fontId="3" fillId="6" borderId="4" xfId="18" applyNumberFormat="1" applyFont="1" applyAlignment="1">
      <alignment horizontal="center"/>
    </xf>
    <xf numFmtId="42" fontId="16" fillId="6" borderId="4" xfId="6" applyFont="1" applyFill="1" applyBorder="1"/>
    <xf numFmtId="9" fontId="16" fillId="6" borderId="4" xfId="1" applyFont="1" applyFill="1" applyBorder="1" applyAlignment="1">
      <alignment horizontal="right"/>
    </xf>
    <xf numFmtId="0" fontId="3" fillId="0" borderId="0" xfId="0" applyFont="1" applyBorder="1"/>
    <xf numFmtId="42" fontId="16" fillId="0" borderId="0" xfId="6" applyNumberFormat="1" applyFont="1" applyFill="1" applyBorder="1"/>
    <xf numFmtId="42" fontId="3" fillId="0" borderId="0" xfId="0" applyNumberFormat="1" applyFont="1" applyFill="1" applyBorder="1"/>
    <xf numFmtId="166" fontId="0" fillId="0" borderId="0" xfId="0" applyNumberFormat="1" applyFont="1" applyFill="1" applyBorder="1" applyAlignment="1">
      <alignment horizontal="right"/>
    </xf>
    <xf numFmtId="166" fontId="0" fillId="0" borderId="0" xfId="0" applyNumberFormat="1" applyFont="1" applyFill="1" applyBorder="1" applyAlignment="1">
      <alignment horizontal="center"/>
    </xf>
    <xf numFmtId="0" fontId="0" fillId="0" borderId="0" xfId="0" applyFont="1" applyFill="1" applyBorder="1" applyAlignment="1">
      <alignment horizontal="right" indent="1"/>
    </xf>
    <xf numFmtId="0" fontId="0" fillId="0" borderId="0" xfId="0" applyFont="1" applyFill="1" applyBorder="1"/>
    <xf numFmtId="42" fontId="0" fillId="0" borderId="0" xfId="0" applyNumberFormat="1" applyFont="1" applyFill="1" applyBorder="1"/>
    <xf numFmtId="167" fontId="0" fillId="0" borderId="0" xfId="0" applyNumberFormat="1" applyFont="1" applyFill="1" applyBorder="1" applyAlignment="1">
      <alignment horizontal="right"/>
    </xf>
    <xf numFmtId="9" fontId="0" fillId="0" borderId="0" xfId="0" applyNumberFormat="1" applyFont="1" applyFill="1" applyBorder="1" applyAlignment="1">
      <alignment horizontal="right"/>
    </xf>
    <xf numFmtId="0" fontId="0" fillId="0" borderId="0" xfId="0" applyFont="1" applyFill="1" applyBorder="1" applyAlignment="1">
      <alignment horizontal="center"/>
    </xf>
    <xf numFmtId="42" fontId="16" fillId="3" borderId="4" xfId="6" applyFill="1" applyBorder="1"/>
    <xf numFmtId="9" fontId="16" fillId="3" borderId="4" xfId="1" applyFill="1" applyBorder="1">
      <alignment horizontal="right"/>
    </xf>
  </cellXfs>
  <cellStyles count="55">
    <cellStyle name="20% - Έμφαση1" xfId="32" builtinId="30" customBuiltin="1"/>
    <cellStyle name="20% - Έμφαση2" xfId="36" builtinId="34" customBuiltin="1"/>
    <cellStyle name="20% - Έμφαση3" xfId="40" builtinId="38" customBuiltin="1"/>
    <cellStyle name="20% - Έμφαση4" xfId="44" builtinId="42" customBuiltin="1"/>
    <cellStyle name="20% - Έμφαση5" xfId="48" builtinId="46" customBuiltin="1"/>
    <cellStyle name="20% - Έμφαση6" xfId="52" builtinId="50" customBuiltin="1"/>
    <cellStyle name="40% - Έμφαση1" xfId="33" builtinId="31" customBuiltin="1"/>
    <cellStyle name="40% - Έμφαση2" xfId="37" builtinId="35" customBuiltin="1"/>
    <cellStyle name="40% - Έμφαση3" xfId="41" builtinId="39" customBuiltin="1"/>
    <cellStyle name="40% - Έμφαση4" xfId="45" builtinId="43" customBuiltin="1"/>
    <cellStyle name="40% - Έμφαση5" xfId="49" builtinId="47" customBuiltin="1"/>
    <cellStyle name="40% - Έμφαση6" xfId="53" builtinId="51" customBuiltin="1"/>
    <cellStyle name="60% - Έμφαση1" xfId="34" builtinId="32" customBuiltin="1"/>
    <cellStyle name="60% - Έμφαση2" xfId="38" builtinId="36" customBuiltin="1"/>
    <cellStyle name="60% - Έμφαση3" xfId="42" builtinId="40" customBuiltin="1"/>
    <cellStyle name="60% - Έμφαση4" xfId="46" builtinId="44" customBuiltin="1"/>
    <cellStyle name="60% - Έμφαση5" xfId="50" builtinId="48" customBuiltin="1"/>
    <cellStyle name="60% - Έμφαση6" xfId="54" builtinId="52" customBuiltin="1"/>
    <cellStyle name="Εισαγωγή" xfId="23" builtinId="20" customBuiltin="1"/>
    <cellStyle name="Έλεγχος κελιού" xfId="27" builtinId="23" customBuiltin="1"/>
    <cellStyle name="Έμφαση1" xfId="31" builtinId="29" customBuiltin="1"/>
    <cellStyle name="Έμφαση2" xfId="35" builtinId="33" customBuiltin="1"/>
    <cellStyle name="Έμφαση3" xfId="39" builtinId="37" customBuiltin="1"/>
    <cellStyle name="Έμφαση4" xfId="43" builtinId="41" customBuiltin="1"/>
    <cellStyle name="Έμφαση5" xfId="47" builtinId="45" customBuiltin="1"/>
    <cellStyle name="Έμφαση6" xfId="51" builtinId="49" customBuiltin="1"/>
    <cellStyle name="Έξοδα, συμπλήρωση" xfId="18"/>
    <cellStyle name="Έξοδος" xfId="24" builtinId="21" customBuiltin="1"/>
    <cellStyle name="Επεξηγηματικό κείμενο" xfId="29" builtinId="53" customBuiltin="1"/>
    <cellStyle name="Επικεφαλίδα 1" xfId="3" builtinId="16" customBuiltin="1"/>
    <cellStyle name="Επικεφαλίδα 2" xfId="12" builtinId="17" customBuiltin="1"/>
    <cellStyle name="Επικεφαλίδα 3" xfId="13" builtinId="18" customBuiltin="1"/>
    <cellStyle name="Επικεφαλίδα 4" xfId="14" builtinId="19" customBuiltin="1"/>
    <cellStyle name="Επικεφαλίδα πίνακα 1" xfId="15"/>
    <cellStyle name="Έσοδα, συμπλήρωση" xfId="16"/>
    <cellStyle name="Κακό" xfId="21" builtinId="27" customBuiltin="1"/>
    <cellStyle name="Καλό" xfId="20" builtinId="26" customBuiltin="1"/>
    <cellStyle name="Κανονικό" xfId="0" builtinId="0" customBuiltin="1"/>
    <cellStyle name="Κέρδος" xfId="8"/>
    <cellStyle name="Κόμμα" xfId="4" builtinId="3" customBuiltin="1"/>
    <cellStyle name="Κόμμα [0]" xfId="5" builtinId="6" customBuiltin="1"/>
    <cellStyle name="Κόστος πωλήσεων, συμπλήρωση" xfId="17"/>
    <cellStyle name="Λεπτομέρειες πίνακα" xfId="11"/>
    <cellStyle name="Νόμισμα [0]" xfId="6" builtinId="7" customBuiltin="1"/>
    <cellStyle name="Νομισματική μονάδα" xfId="19" builtinId="4" customBuiltin="1"/>
    <cellStyle name="Ουδέτερο" xfId="22" builtinId="28" customBuiltin="1"/>
    <cellStyle name="Ποσό κέρδους" xfId="9"/>
    <cellStyle name="Ποσοστό" xfId="1" builtinId="5" customBuiltin="1"/>
    <cellStyle name="Ποσοστό κέρδους" xfId="10"/>
    <cellStyle name="Προειδοποιητικό κείμενο" xfId="28" builtinId="11" customBuiltin="1"/>
    <cellStyle name="Σημείωση" xfId="7" builtinId="10" customBuiltin="1"/>
    <cellStyle name="Συνδεδεμένο κελί" xfId="26" builtinId="24" customBuiltin="1"/>
    <cellStyle name="Σύνολο" xfId="30" builtinId="25" customBuiltin="1"/>
    <cellStyle name="Τίτλος" xfId="2" builtinId="15" customBuiltin="1"/>
    <cellStyle name="Υπολογισμός" xfId="25" builtinId="22" customBuiltin="1"/>
  </cellStyles>
  <dxfs count="170">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6" tint="0.39994506668294322"/>
        </patternFill>
      </fill>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charset val="161"/>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b val="0"/>
        <i val="0"/>
        <strike val="0"/>
        <condense val="0"/>
        <extend val="0"/>
        <outline val="0"/>
        <shadow val="0"/>
        <u val="none"/>
        <vertAlign val="baseline"/>
        <sz val="11"/>
        <color theme="1"/>
        <name val="Tahoma"/>
        <family val="2"/>
        <charset val="161"/>
        <scheme val="none"/>
      </font>
      <numFmt numFmtId="167" formatCode="0%;;&quot;-&quo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Tahoma"/>
        <family val="2"/>
        <charset val="161"/>
        <scheme val="none"/>
      </font>
      <numFmt numFmtId="0" formatCode="General"/>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b val="0"/>
        <i val="0"/>
        <strike val="0"/>
        <condense val="0"/>
        <extend val="0"/>
        <outline val="0"/>
        <shadow val="0"/>
        <u val="none"/>
        <vertAlign val="baseline"/>
        <sz val="11"/>
        <color theme="1"/>
        <name val="Tahoma"/>
        <family val="2"/>
        <charset val="161"/>
        <scheme val="none"/>
      </font>
      <numFmt numFmtId="13" formatCode="0%"/>
    </dxf>
    <dxf>
      <font>
        <strike val="0"/>
        <outline val="0"/>
        <shadow val="0"/>
        <u val="none"/>
        <vertAlign val="baseline"/>
        <name val="Tahoma"/>
        <family val="2"/>
        <charset val="161"/>
        <scheme val="none"/>
      </font>
      <fill>
        <patternFill patternType="solid">
          <fgColor indexed="64"/>
          <bgColor theme="5" tint="0.39994506668294322"/>
        </patternFill>
      </fill>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right"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strike val="0"/>
        <outline val="0"/>
        <shadow val="0"/>
        <u val="none"/>
        <vertAlign val="baseline"/>
        <name val="Tahoma"/>
        <family val="2"/>
        <charset val="161"/>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fill>
        <patternFill patternType="solid">
          <fgColor indexed="64"/>
          <bgColor theme="5" tint="0.39994506668294322"/>
        </patternFill>
      </fill>
      <alignment horizontal="center" vertical="bottom"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numFmt numFmtId="32" formatCode="_-* #,##0\ &quot;€&quot;_-;\-* #,##0\ &quot;€&quot;_-;_-* &quot;-&quot;\ &quot;€&quot;_-;_-@_-"/>
      <fill>
        <patternFill patternType="none">
          <fgColor indexed="64"/>
          <bgColor indexed="65"/>
        </patternFill>
      </fill>
      <border diagonalUp="0" diagonalDown="0" outline="0">
        <left/>
        <right/>
        <top/>
        <bottom/>
      </border>
    </dxf>
    <dxf>
      <font>
        <strike val="0"/>
        <outline val="0"/>
        <shadow val="0"/>
        <u val="none"/>
        <vertAlign val="baseline"/>
        <name val="Tahoma"/>
        <family val="2"/>
        <charset val="161"/>
        <scheme val="none"/>
      </font>
      <numFmt numFmtId="32" formatCode="_-* #,##0\ &quot;€&quot;_-;\-* #,##0\ &quot;€&quot;_-;_-* &quot;-&quot;\ &quot;€&quot;_-;_-@_-"/>
      <fill>
        <patternFill patternType="none">
          <fgColor indexed="64"/>
          <bgColor indexed="65"/>
        </patternFill>
      </fill>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Tahoma"/>
        <family val="2"/>
        <charset val="161"/>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Tahoma"/>
        <family val="2"/>
        <charset val="161"/>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border>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right style="dotted">
          <color theme="4" tint="0.39994506668294322"/>
        </right>
        <top style="thin">
          <color theme="4" tint="0.39994506668294322"/>
        </top>
        <bottom style="thin">
          <color theme="4" tint="0.39994506668294322"/>
        </bottom>
        <vertical style="dotted">
          <color theme="4"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3" defaultTableStyle="Κέρδη και ζημιές, έσοδα" defaultPivotStyle="PivotStyleLight16">
    <tableStyle name="Κέρδη και ζημιές, έξοδα" pivot="0" count="5">
      <tableStyleElement type="wholeTable" dxfId="169"/>
      <tableStyleElement type="headerRow" dxfId="168"/>
      <tableStyleElement type="totalRow" dxfId="167"/>
      <tableStyleElement type="firstRowStripe" dxfId="166"/>
      <tableStyleElement type="secondRowStripe" dxfId="165"/>
    </tableStyle>
    <tableStyle name="Κέρδη και ζημιές, έσοδα" pivot="0" count="5">
      <tableStyleElement type="wholeTable" dxfId="164"/>
      <tableStyleElement type="headerRow" dxfId="163"/>
      <tableStyleElement type="totalRow" dxfId="162"/>
      <tableStyleElement type="firstRowStripe" dxfId="161"/>
      <tableStyleElement type="secondRowStripe" dxfId="160"/>
    </tableStyle>
    <tableStyle name="Κέρδη και ζημιές, πωλήσεις" pivot="0" count="5">
      <tableStyleElement type="wholeTable" dxfId="159"/>
      <tableStyleElement type="headerRow" dxfId="158"/>
      <tableStyleElement type="totalRow" dxfId="157"/>
      <tableStyleElement type="firstRowStripe" dxfId="156"/>
      <tableStyleElement type="secondRowStripe" dxfId="15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Έσοδα" displayName="Έσοδα" ref="B4:AD12" totalsRowCount="1" headerRowDxfId="154" dataDxfId="153" totalsRowDxfId="152">
  <autoFilter ref="B4:AD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name="ΕΣΟΔΑ (ΠΩΛΗΣΕΙΣ)" totalsRowLabel="ΣΥΝΟΛΙΚΕΣ ΠΩΛΗΣΕΙΣ" dataDxfId="151" totalsRowDxfId="150"/>
    <tableColumn id="29" name="ΤΑΣΗ" dataDxfId="149" totalsRowDxfId="148" dataCellStyle="Έσοδα, συμπλήρωση"/>
    <tableColumn id="2" name="Ιαν" totalsRowFunction="sum" dataDxfId="147" totalsRowDxfId="146" dataCellStyle="Νόμισμα [0]"/>
    <tableColumn id="3" name="Φεβ" totalsRowFunction="sum" dataDxfId="145" totalsRowDxfId="144" dataCellStyle="Νόμισμα [0]"/>
    <tableColumn id="4" name="Μαρ" totalsRowFunction="sum" dataDxfId="143" totalsRowDxfId="142" dataCellStyle="Νόμισμα [0]"/>
    <tableColumn id="5" name="Απρ" totalsRowFunction="sum" dataDxfId="141" totalsRowDxfId="140" dataCellStyle="Νόμισμα [0]"/>
    <tableColumn id="6" name="Μαϊ" totalsRowFunction="sum" dataDxfId="139" totalsRowDxfId="138" dataCellStyle="Νόμισμα [0]"/>
    <tableColumn id="7" name="Ιουν" totalsRowFunction="sum" dataDxfId="137" totalsRowDxfId="136" dataCellStyle="Νόμισμα [0]"/>
    <tableColumn id="8" name="Ιουλ" totalsRowFunction="sum" dataDxfId="135" totalsRowDxfId="134" dataCellStyle="Νόμισμα [0]"/>
    <tableColumn id="9" name="Αυγ" totalsRowFunction="sum" dataDxfId="133" totalsRowDxfId="132" dataCellStyle="Νόμισμα [0]"/>
    <tableColumn id="10" name="Σεπ" totalsRowFunction="sum" dataDxfId="131" totalsRowDxfId="130" dataCellStyle="Νόμισμα [0]"/>
    <tableColumn id="11" name="Οκτ" totalsRowFunction="sum" dataDxfId="129" totalsRowDxfId="128" dataCellStyle="Νόμισμα [0]"/>
    <tableColumn id="12" name="Νοε" totalsRowFunction="sum" dataDxfId="127" totalsRowDxfId="126" dataCellStyle="Νόμισμα [0]"/>
    <tableColumn id="13" name="Δεκ" totalsRowFunction="sum" dataDxfId="125" totalsRowDxfId="124" dataCellStyle="Νόμισμα [0]"/>
    <tableColumn id="14" name="Ετήσια" totalsRowFunction="sum" dataDxfId="123" totalsRowDxfId="122" dataCellStyle="Νόμισμα [0]">
      <calculatedColumnFormula>SUM(Έσοδα[[#This Row],[Ιαν]:[Δεκ]])</calculatedColumnFormula>
    </tableColumn>
    <tableColumn id="15" name="δείκτης %" totalsRowFunction="sum" dataDxfId="121" totalsRowDxfId="120" dataCellStyle="Ποσοστό"/>
    <tableColumn id="16" name="Ιαν %" totalsRowFunction="sum" dataDxfId="119" totalsRowDxfId="118" dataCellStyle="Ποσοστό">
      <calculatedColumnFormula>IFERROR(Έσοδα[[#This Row],[Ιαν]]/Έσοδα[[#Totals],[Ιαν]],"-")</calculatedColumnFormula>
    </tableColumn>
    <tableColumn id="17" name="Φεβ %" totalsRowFunction="sum" dataDxfId="117" totalsRowDxfId="116" dataCellStyle="Ποσοστό">
      <calculatedColumnFormula>IFERROR(Έσοδα[[#This Row],[Φεβ]]/Έσοδα[[#Totals],[Φεβ]],"-")</calculatedColumnFormula>
    </tableColumn>
    <tableColumn id="18" name="Μαρ %" totalsRowFunction="sum" dataDxfId="115" totalsRowDxfId="114" dataCellStyle="Ποσοστό">
      <calculatedColumnFormula>IFERROR(Έσοδα[[#This Row],[Μαρ]]/Έσοδα[[#Totals],[Μαρ]],"-")</calculatedColumnFormula>
    </tableColumn>
    <tableColumn id="19" name="Απρ %" totalsRowFunction="sum" dataDxfId="113" totalsRowDxfId="112" dataCellStyle="Ποσοστό">
      <calculatedColumnFormula>IFERROR(Έσοδα[[#This Row],[Απρ]]/Έσοδα[[#Totals],[Απρ]],"-")</calculatedColumnFormula>
    </tableColumn>
    <tableColumn id="20" name="Μαϊ %" totalsRowFunction="sum" dataDxfId="111" totalsRowDxfId="110" dataCellStyle="Ποσοστό">
      <calculatedColumnFormula>IFERROR(Έσοδα[[#This Row],[Μαϊ]]/Έσοδα[[#Totals],[Μαϊ]],"-")</calculatedColumnFormula>
    </tableColumn>
    <tableColumn id="21" name="Ιουν %" totalsRowFunction="sum" dataDxfId="109" totalsRowDxfId="108" dataCellStyle="Ποσοστό">
      <calculatedColumnFormula>IFERROR(Έσοδα[[#This Row],[Ιουν]]/Έσοδα[[#Totals],[Ιουν]],"-")</calculatedColumnFormula>
    </tableColumn>
    <tableColumn id="22" name="Ιουλ %" totalsRowFunction="sum" dataDxfId="107" totalsRowDxfId="106" dataCellStyle="Ποσοστό">
      <calculatedColumnFormula>IFERROR(Έσοδα[[#This Row],[Ιουλ]]/Έσοδα[[#Totals],[Ιουλ]],"-")</calculatedColumnFormula>
    </tableColumn>
    <tableColumn id="23" name="Αυγ %" totalsRowFunction="sum" dataDxfId="105" totalsRowDxfId="104" dataCellStyle="Ποσοστό">
      <calculatedColumnFormula>IFERROR(Έσοδα[[#This Row],[Αυγ]]/Έσοδα[[#Totals],[Αυγ]],"-")</calculatedColumnFormula>
    </tableColumn>
    <tableColumn id="24" name="Σεπ %" totalsRowFunction="sum" dataDxfId="103" totalsRowDxfId="102" dataCellStyle="Ποσοστό">
      <calculatedColumnFormula>IFERROR(Έσοδα[[#This Row],[Σεπ]]/Έσοδα[[#Totals],[Σεπ]],"-")</calculatedColumnFormula>
    </tableColumn>
    <tableColumn id="25" name="Οκτ %" totalsRowFunction="sum" dataDxfId="101" totalsRowDxfId="100" dataCellStyle="Ποσοστό">
      <calculatedColumnFormula>IFERROR(Έσοδα[[#This Row],[Οκτ]]/Έσοδα[[#Totals],[Οκτ]],"-")</calculatedColumnFormula>
    </tableColumn>
    <tableColumn id="26" name="Νοε %" totalsRowFunction="sum" dataDxfId="99" totalsRowDxfId="98" dataCellStyle="Ποσοστό">
      <calculatedColumnFormula>IFERROR(Έσοδα[[#This Row],[Νοε]]/Έσοδα[[#Totals],[Νοε]],"-")</calculatedColumnFormula>
    </tableColumn>
    <tableColumn id="27" name="Δεκ %" totalsRowFunction="sum" dataDxfId="97" totalsRowDxfId="96" dataCellStyle="Ποσοστό">
      <calculatedColumnFormula>IFERROR(Έσοδα[[#This Row],[Δεκ]]/Έσοδα[[#Totals],[Δεκ]],"-")</calculatedColumnFormula>
    </tableColumn>
    <tableColumn id="28" name="έτους %" totalsRowFunction="sum" dataDxfId="95" totalsRowDxfId="94" dataCellStyle="Ποσοστό">
      <calculatedColumnFormula>IFERROR(Έσοδα[[#This Row],[Ετήσια]]/Έσοδα[[#Totals],[Ετήσια]],"-")</calculatedColumnFormula>
    </tableColumn>
  </tableColumns>
  <tableStyleInfo name="Κέρδη και ζημιές, έσοδα" showFirstColumn="0" showLastColumn="0" showRowStripes="1" showColumnStripes="0"/>
  <extLst>
    <ext xmlns:x14="http://schemas.microsoft.com/office/spreadsheetml/2009/9/main" uri="{504A1905-F514-4f6f-8877-14C23A59335A}">
      <x14:table altTextSummary="Σύνοψη των μηνιαίων πωλήσεων, του ετήσιου συνόλου και του μηνιαίου ποσοστού για κάθε στοιχείο εσόδων"/>
    </ext>
  </extLst>
</table>
</file>

<file path=xl/tables/table2.xml><?xml version="1.0" encoding="utf-8"?>
<table xmlns="http://schemas.openxmlformats.org/spreadsheetml/2006/main" id="2" name="ΚόστοςΠωλήσεων" displayName="ΚόστοςΠωλήσεων" ref="B4:AD12" totalsRowCount="1" headerRowDxfId="93" dataDxfId="92" totalsRowDxfId="91">
  <tableColumns count="29">
    <tableColumn id="1" name="ΚΟΣΤΟΣ ΠΩΛΗΣΕΩΝ" totalsRowLabel="ΣΥΝΟΛΙΚΟ ΚΟΣΤΟΣ ΠΩΛΗΣΕΩΝ" dataDxfId="90" totalsRowDxfId="89"/>
    <tableColumn id="2" name="ΤΑΣΗ" dataDxfId="88" totalsRowDxfId="87" dataCellStyle="Κόστος πωλήσεων, συμπλήρωση"/>
    <tableColumn id="3" name="Ιαν" totalsRowFunction="sum" dataDxfId="86" totalsRowDxfId="85" dataCellStyle="Νόμισμα [0]"/>
    <tableColumn id="4" name="Φεβ" totalsRowFunction="sum" dataDxfId="84" totalsRowDxfId="83" dataCellStyle="Νόμισμα [0]"/>
    <tableColumn id="5" name="Μαρ" totalsRowFunction="sum" dataDxfId="82" totalsRowDxfId="81" dataCellStyle="Νόμισμα [0]"/>
    <tableColumn id="6" name="Απρ" totalsRowFunction="sum" dataDxfId="80" totalsRowDxfId="79" dataCellStyle="Νόμισμα [0]"/>
    <tableColumn id="7" name="Μαϊ" totalsRowFunction="sum" dataDxfId="78" totalsRowDxfId="77" dataCellStyle="Νόμισμα [0]"/>
    <tableColumn id="8" name="Ιουν" totalsRowFunction="sum" dataDxfId="76" totalsRowDxfId="75" dataCellStyle="Νόμισμα [0]"/>
    <tableColumn id="9" name="Ιουλ" totalsRowFunction="sum" dataDxfId="74" totalsRowDxfId="73" dataCellStyle="Νόμισμα [0]"/>
    <tableColumn id="10" name="Αυγ" totalsRowFunction="sum" dataDxfId="72" totalsRowDxfId="71" dataCellStyle="Νόμισμα [0]"/>
    <tableColumn id="11" name="Σεπ" totalsRowFunction="sum" dataDxfId="70" totalsRowDxfId="69" dataCellStyle="Νόμισμα [0]"/>
    <tableColumn id="12" name="Οκτ" totalsRowFunction="sum" dataDxfId="68" totalsRowDxfId="67" dataCellStyle="Νόμισμα [0]"/>
    <tableColumn id="13" name="Νοε" totalsRowFunction="sum" dataDxfId="66" totalsRowDxfId="65" dataCellStyle="Νόμισμα [0]"/>
    <tableColumn id="14" name="Δεκ" totalsRowFunction="sum" dataDxfId="64" totalsRowDxfId="63" dataCellStyle="Νόμισμα [0]"/>
    <tableColumn id="15" name="Ετήσια" totalsRowFunction="sum" dataCellStyle="Νόμισμα [0]">
      <calculatedColumnFormula>SUM(ΚόστοςΠωλήσεων[[#This Row],[Ιαν]:[Δεκ]])</calculatedColumnFormula>
    </tableColumn>
    <tableColumn id="16" name="δείκτης %" totalsRowFunction="sum" dataDxfId="62" totalsRowDxfId="61" dataCellStyle="Ποσοστό"/>
    <tableColumn id="17" name="Ιαν %" totalsRowFunction="sum" dataCellStyle="Ποσοστό">
      <calculatedColumnFormula>IFERROR(ΚόστοςΠωλήσεων[[#This Row],[Ιαν]]/ΚόστοςΠωλήσεων[[#Totals],[Ιαν]],"-")</calculatedColumnFormula>
    </tableColumn>
    <tableColumn id="18" name="Φεβ %" totalsRowFunction="sum" dataCellStyle="Ποσοστό">
      <calculatedColumnFormula>IFERROR(ΚόστοςΠωλήσεων[[#This Row],[Φεβ]]/ΚόστοςΠωλήσεων[[#Totals],[Φεβ]],"-")</calculatedColumnFormula>
    </tableColumn>
    <tableColumn id="19" name="Μαρ %" totalsRowFunction="sum" dataCellStyle="Ποσοστό">
      <calculatedColumnFormula>IFERROR(ΚόστοςΠωλήσεων[[#This Row],[Μαρ]]/ΚόστοςΠωλήσεων[[#Totals],[Μαρ]],"-")</calculatedColumnFormula>
    </tableColumn>
    <tableColumn id="20" name="Απρ %" totalsRowFunction="sum" dataCellStyle="Ποσοστό">
      <calculatedColumnFormula>IFERROR(ΚόστοςΠωλήσεων[[#This Row],[Απρ]]/ΚόστοςΠωλήσεων[[#Totals],[Απρ]],"-")</calculatedColumnFormula>
    </tableColumn>
    <tableColumn id="21" name="Μαϊ %" totalsRowFunction="sum" dataCellStyle="Ποσοστό">
      <calculatedColumnFormula>IFERROR(ΚόστοςΠωλήσεων[[#This Row],[Μαϊ]]/ΚόστοςΠωλήσεων[[#Totals],[Μαϊ]],"-")</calculatedColumnFormula>
    </tableColumn>
    <tableColumn id="22" name="Ιουν %" totalsRowFunction="sum" dataCellStyle="Ποσοστό">
      <calculatedColumnFormula>IFERROR(ΚόστοςΠωλήσεων[[#This Row],[Ιουν]]/ΚόστοςΠωλήσεων[[#Totals],[Ιουν]],"-")</calculatedColumnFormula>
    </tableColumn>
    <tableColumn id="23" name="Ιουλ %" totalsRowFunction="sum" dataCellStyle="Ποσοστό">
      <calculatedColumnFormula>IFERROR(ΚόστοςΠωλήσεων[[#This Row],[Ιουλ]]/ΚόστοςΠωλήσεων[[#Totals],[Ιουλ]],"-")</calculatedColumnFormula>
    </tableColumn>
    <tableColumn id="24" name="Αυγ %" totalsRowFunction="sum" dataCellStyle="Ποσοστό">
      <calculatedColumnFormula>IFERROR(ΚόστοςΠωλήσεων[[#This Row],[Αυγ]]/ΚόστοςΠωλήσεων[[#Totals],[Αυγ]],"-")</calculatedColumnFormula>
    </tableColumn>
    <tableColumn id="25" name="Σεπ %" totalsRowFunction="sum" dataCellStyle="Ποσοστό">
      <calculatedColumnFormula>IFERROR(ΚόστοςΠωλήσεων[[#This Row],[Σεπ]]/ΚόστοςΠωλήσεων[[#Totals],[Σεπ]],"-")</calculatedColumnFormula>
    </tableColumn>
    <tableColumn id="26" name="Οκτ %" totalsRowFunction="sum" dataCellStyle="Ποσοστό">
      <calculatedColumnFormula>IFERROR(ΚόστοςΠωλήσεων[[#This Row],[Οκτ]]/ΚόστοςΠωλήσεων[[#Totals],[Οκτ]],"-")</calculatedColumnFormula>
    </tableColumn>
    <tableColumn id="27" name="Νοε %" totalsRowFunction="sum" dataCellStyle="Ποσοστό">
      <calculatedColumnFormula>IFERROR(ΚόστοςΠωλήσεων[[#This Row],[Νοε]]/ΚόστοςΠωλήσεων[[#Totals],[Νοε]],"-")</calculatedColumnFormula>
    </tableColumn>
    <tableColumn id="28" name="Δεκ %" totalsRowFunction="sum" dataCellStyle="Ποσοστό">
      <calculatedColumnFormula>IFERROR(ΚόστοςΠωλήσεων[[#This Row],[Δεκ]]/ΚόστοςΠωλήσεων[[#Totals],[Δεκ]],"-")</calculatedColumnFormula>
    </tableColumn>
    <tableColumn id="29" name="έτους %" totalsRowFunction="sum" dataCellStyle="Ποσοστό">
      <calculatedColumnFormula>IFERROR(ΚόστοςΠωλήσεων[[#This Row],[Ετήσια]]/ΚόστοςΠωλήσεων[[#Totals],[Ετήσια]],"-")</calculatedColumnFormula>
    </tableColumn>
  </tableColumns>
  <tableStyleInfo name="Κέρδη και ζημιές, πωλήσεις" showFirstColumn="0" showLastColumn="0" showRowStripes="1" showColumnStripes="0"/>
  <extLst>
    <ext xmlns:x14="http://schemas.microsoft.com/office/spreadsheetml/2009/9/main" uri="{504A1905-F514-4f6f-8877-14C23A59335A}">
      <x14:table altTextSummary="Σύνοψη του μηνιαίου κόστους πωλήσεων, του ετήσιου συνόλου και του μηνιαίου ποσοστού για κάθε στοιχείο κόστους"/>
    </ext>
  </extLst>
</table>
</file>

<file path=xl/tables/table3.xml><?xml version="1.0" encoding="utf-8"?>
<table xmlns="http://schemas.openxmlformats.org/spreadsheetml/2006/main" id="8" name="πνκΈξοδα" displayName="πνκΈξοδα" ref="B4:AD24" totalsRowCount="1" headerRowDxfId="60" dataDxfId="59" totalsRowDxfId="58">
  <tableColumns count="29">
    <tableColumn id="1" name="ΕΞΟΔΑ" totalsRowLabel="ΣΥΝΟΛΙΚΑ ΕΞΟΔΑ" dataDxfId="57" totalsRowDxfId="56"/>
    <tableColumn id="2" name="ΤΑΣΗ" totalsRowLabel=" " dataDxfId="55" totalsRowDxfId="54" dataCellStyle="Έξοδα, συμπλήρωση"/>
    <tableColumn id="3" name="Στήλη1" totalsRowFunction="sum" dataDxfId="53" totalsRowDxfId="52" dataCellStyle="Νόμισμα [0]"/>
    <tableColumn id="4" name="Φεβ" totalsRowFunction="sum" dataDxfId="51" totalsRowDxfId="50" dataCellStyle="Νόμισμα [0]"/>
    <tableColumn id="5" name="Μαρ" totalsRowFunction="sum" dataDxfId="49" totalsRowDxfId="48" dataCellStyle="Νόμισμα [0]"/>
    <tableColumn id="6" name="Απρ" totalsRowFunction="sum" dataDxfId="47" totalsRowDxfId="46" dataCellStyle="Νόμισμα [0]"/>
    <tableColumn id="7" name="Μαϊ" totalsRowFunction="sum" dataDxfId="45" totalsRowDxfId="44" dataCellStyle="Νόμισμα [0]"/>
    <tableColumn id="8" name="Ιουν" totalsRowFunction="sum" dataDxfId="43" totalsRowDxfId="42" dataCellStyle="Νόμισμα [0]"/>
    <tableColumn id="9" name="Ιουλ" totalsRowFunction="sum" dataDxfId="41" totalsRowDxfId="40" dataCellStyle="Νόμισμα [0]"/>
    <tableColumn id="10" name="Αυγ" totalsRowFunction="sum" dataDxfId="39" totalsRowDxfId="38" dataCellStyle="Νόμισμα [0]"/>
    <tableColumn id="11" name="Σεπ" totalsRowFunction="sum" dataDxfId="37" totalsRowDxfId="36" dataCellStyle="Νόμισμα [0]"/>
    <tableColumn id="12" name="Οκτ" totalsRowFunction="sum" dataDxfId="35" totalsRowDxfId="34" dataCellStyle="Νόμισμα [0]"/>
    <tableColumn id="13" name="Νοε" totalsRowFunction="sum" dataDxfId="33" totalsRowDxfId="32" dataCellStyle="Νόμισμα [0]"/>
    <tableColumn id="14" name="Δεκ" totalsRowFunction="sum" dataDxfId="31" totalsRowDxfId="30" dataCellStyle="Νόμισμα [0]"/>
    <tableColumn id="15" name="Ετήσια" totalsRowFunction="sum" dataDxfId="29" totalsRowDxfId="28" dataCellStyle="Νόμισμα [0]">
      <calculatedColumnFormula>SUM(πνκΈξοδα[[#This Row],[Στήλη1]:[Δεκ]])</calculatedColumnFormula>
    </tableColumn>
    <tableColumn id="16" name="δείκτης %" totalsRowFunction="sum" dataDxfId="27" totalsRowDxfId="26" dataCellStyle="Ποσοστό"/>
    <tableColumn id="17" name="Ιαν %" totalsRowFunction="sum" dataDxfId="25" totalsRowDxfId="24" dataCellStyle="Ποσοστό">
      <calculatedColumnFormula>πνκΈξοδα[[#This Row],[Στήλη1]]/πνκΈξοδα[[#Totals],[Στήλη1]]</calculatedColumnFormula>
    </tableColumn>
    <tableColumn id="18" name="Φεβ %" totalsRowFunction="sum" dataDxfId="23" totalsRowDxfId="22" dataCellStyle="Ποσοστό">
      <calculatedColumnFormula>πνκΈξοδα[[#This Row],[Φεβ]]/πνκΈξοδα[[#Totals],[Φεβ]]</calculatedColumnFormula>
    </tableColumn>
    <tableColumn id="19" name="Μαρ %" totalsRowFunction="sum" dataDxfId="21" totalsRowDxfId="20" dataCellStyle="Ποσοστό">
      <calculatedColumnFormula>πνκΈξοδα[[#This Row],[Μαρ]]/πνκΈξοδα[[#Totals],[Μαρ]]</calculatedColumnFormula>
    </tableColumn>
    <tableColumn id="20" name="Απρ %" totalsRowFunction="sum" dataDxfId="19" totalsRowDxfId="18" dataCellStyle="Ποσοστό">
      <calculatedColumnFormula>πνκΈξοδα[[#This Row],[Απρ]]/πνκΈξοδα[[#Totals],[Απρ]]</calculatedColumnFormula>
    </tableColumn>
    <tableColumn id="21" name="Μαϊ %" totalsRowFunction="sum" dataDxfId="17" totalsRowDxfId="16" dataCellStyle="Ποσοστό">
      <calculatedColumnFormula>πνκΈξοδα[[#This Row],[Μαϊ]]/πνκΈξοδα[[#Totals],[Μαϊ]]</calculatedColumnFormula>
    </tableColumn>
    <tableColumn id="22" name="Ιουν %" totalsRowFunction="sum" dataDxfId="15" totalsRowDxfId="14" dataCellStyle="Ποσοστό">
      <calculatedColumnFormula>πνκΈξοδα[[#This Row],[Ιουν]]/πνκΈξοδα[[#Totals],[Ιουν]]</calculatedColumnFormula>
    </tableColumn>
    <tableColumn id="23" name="Ιουλ %" totalsRowFunction="sum" dataDxfId="13" totalsRowDxfId="12" dataCellStyle="Ποσοστό">
      <calculatedColumnFormula>πνκΈξοδα[[#This Row],[Ιουλ]]/πνκΈξοδα[[#Totals],[Ιουλ]]</calculatedColumnFormula>
    </tableColumn>
    <tableColumn id="24" name="Αυγ %" totalsRowFunction="sum" dataDxfId="11" totalsRowDxfId="10" dataCellStyle="Ποσοστό">
      <calculatedColumnFormula>πνκΈξοδα[[#This Row],[Αυγ]]/πνκΈξοδα[[#Totals],[Αυγ]]</calculatedColumnFormula>
    </tableColumn>
    <tableColumn id="25" name="Σεπ %" totalsRowFunction="sum" dataDxfId="9" totalsRowDxfId="8" dataCellStyle="Ποσοστό">
      <calculatedColumnFormula>πνκΈξοδα[[#This Row],[Σεπ]]/πνκΈξοδα[[#Totals],[Σεπ]]</calculatedColumnFormula>
    </tableColumn>
    <tableColumn id="26" name="Οκτ %" totalsRowFunction="sum" dataDxfId="7" totalsRowDxfId="6" dataCellStyle="Ποσοστό">
      <calculatedColumnFormula>πνκΈξοδα[[#This Row],[Οκτ]]/πνκΈξοδα[[#Totals],[Οκτ]]</calculatedColumnFormula>
    </tableColumn>
    <tableColumn id="27" name="Νοε %" totalsRowFunction="sum" dataDxfId="5" totalsRowDxfId="4" dataCellStyle="Ποσοστό">
      <calculatedColumnFormula>πνκΈξοδα[[#This Row],[Νοε]]/πνκΈξοδα[[#Totals],[Νοε]]</calculatedColumnFormula>
    </tableColumn>
    <tableColumn id="28" name="Δεκ %" totalsRowFunction="sum" dataDxfId="3" totalsRowDxfId="2" dataCellStyle="Ποσοστό">
      <calculatedColumnFormula>πνκΈξοδα[[#This Row],[Δεκ]]/πνκΈξοδα[[#Totals],[Δεκ]]</calculatedColumnFormula>
    </tableColumn>
    <tableColumn id="29" name="έτους %" totalsRowFunction="sum" dataDxfId="1" totalsRowDxfId="0" dataCellStyle="Ποσοστό">
      <calculatedColumnFormula>πνκΈξοδα[[#This Row],[Ετήσια]]/πνκΈξοδα[[#Totals],[Ετήσια]]</calculatedColumnFormula>
    </tableColumn>
  </tableColumns>
  <tableStyleInfo name="Κέρδη και ζημιές, έξοδα" showFirstColumn="0" showLastColumn="0" showRowStripes="1" showColumnStripes="0"/>
  <extLst>
    <ext xmlns:x14="http://schemas.microsoft.com/office/spreadsheetml/2009/9/main" uri="{504A1905-F514-4f6f-8877-14C23A59335A}">
      <x14:table altTextSummary="Σύνοψη των μηνιαίων εξόδων, του ετήσιου συνόλου και του μηνιαίου ποσοστού για κάθε στοιχείο εξόδων"/>
    </ext>
  </extLst>
</table>
</file>

<file path=xl/theme/theme1.xml><?xml version="1.0" encoding="utf-8"?>
<a:theme xmlns:a="http://schemas.openxmlformats.org/drawingml/2006/main" name="Office Theme">
  <a:themeElements>
    <a:clrScheme name="Profit and Loss">
      <a:dk1>
        <a:sysClr val="windowText" lastClr="000000"/>
      </a:dk1>
      <a:lt1>
        <a:srgbClr val="FFFFFF"/>
      </a:lt1>
      <a:dk2>
        <a:srgbClr val="38321C"/>
      </a:dk2>
      <a:lt2>
        <a:srgbClr val="FFFFFF"/>
      </a:lt2>
      <a:accent1>
        <a:srgbClr val="DE8D26"/>
      </a:accent1>
      <a:accent2>
        <a:srgbClr val="2F7B6A"/>
      </a:accent2>
      <a:accent3>
        <a:srgbClr val="3BA0D6"/>
      </a:accent3>
      <a:accent4>
        <a:srgbClr val="8E9ACA"/>
      </a:accent4>
      <a:accent5>
        <a:srgbClr val="6F6857"/>
      </a:accent5>
      <a:accent6>
        <a:srgbClr val="F79646"/>
      </a:accent6>
      <a:hlink>
        <a:srgbClr val="0000FF"/>
      </a:hlink>
      <a:folHlink>
        <a:srgbClr val="800080"/>
      </a:folHlink>
    </a:clrScheme>
    <a:fontScheme name="Profit Loss Statement">
      <a:majorFont>
        <a:latin typeface="Bookman Old Style"/>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2"/>
  <sheetViews>
    <sheetView showGridLines="0" tabSelected="1" zoomScaleNormal="100" workbookViewId="0">
      <pane ySplit="3" topLeftCell="A4" activePane="bottomLeft" state="frozen"/>
      <selection pane="bottomLeft"/>
    </sheetView>
  </sheetViews>
  <sheetFormatPr defaultRowHeight="30" customHeight="1" x14ac:dyDescent="0.2"/>
  <cols>
    <col min="1" max="1" width="2.625" style="2" customWidth="1"/>
    <col min="2" max="2" width="32.375" style="2" customWidth="1"/>
    <col min="3" max="3" width="12.625" style="2" customWidth="1"/>
    <col min="4" max="15" width="10" style="2" customWidth="1"/>
    <col min="16" max="16" width="11.75" style="2" customWidth="1"/>
    <col min="17" max="29" width="7.75" style="2" customWidth="1"/>
    <col min="30" max="30" width="9.875" style="2" customWidth="1"/>
    <col min="31" max="31" width="2.625" style="2" customWidth="1"/>
    <col min="32" max="16384" width="9" style="2"/>
  </cols>
  <sheetData>
    <row r="1" spans="1:30" ht="35.1" customHeight="1" x14ac:dyDescent="0.2">
      <c r="A1" s="1"/>
      <c r="B1" s="20" t="s">
        <v>0</v>
      </c>
      <c r="J1" s="3"/>
      <c r="Q1" s="21"/>
      <c r="R1" s="21"/>
      <c r="S1" s="21"/>
      <c r="T1" s="21"/>
      <c r="U1" s="21"/>
      <c r="V1" s="21"/>
      <c r="W1" s="21"/>
      <c r="X1" s="21"/>
      <c r="Y1" s="21"/>
      <c r="Z1" s="21"/>
      <c r="AA1" s="21"/>
      <c r="AB1" s="21"/>
      <c r="AC1" s="21"/>
      <c r="AD1" s="22" t="s">
        <v>23</v>
      </c>
    </row>
    <row r="2" spans="1:30" ht="60" customHeight="1" x14ac:dyDescent="0.2">
      <c r="B2" s="25" t="s">
        <v>1</v>
      </c>
      <c r="E2" s="5"/>
      <c r="G2" s="5"/>
      <c r="K2" s="5"/>
      <c r="L2" s="5"/>
      <c r="M2" s="5"/>
      <c r="N2" s="5"/>
      <c r="O2" s="5"/>
      <c r="X2" s="6"/>
      <c r="Y2" s="6"/>
      <c r="Z2" s="6"/>
      <c r="AA2" s="6"/>
      <c r="AB2" s="23" t="s">
        <v>21</v>
      </c>
      <c r="AC2" s="23" t="s">
        <v>22</v>
      </c>
      <c r="AD2" s="32">
        <f ca="1">YEAR(TODAY())</f>
        <v>2017</v>
      </c>
    </row>
    <row r="3" spans="1:30" ht="20.100000000000001" customHeight="1" x14ac:dyDescent="0.2">
      <c r="D3" s="33" t="str">
        <f ca="1">UPPER(TEXT(DATE(ΈτοςΈναρξηςΟΕ,ΑρΜήναΟΕ,1),"μμμ-εε"))</f>
        <v>ΙΑΝ-17</v>
      </c>
      <c r="E3" s="33" t="str">
        <f ca="1">UPPER(TEXT(DATE(ΈτοςΈναρξηςΟΕ,ΑρΜήναΟΕ+1,1),"μμμ-εε"))</f>
        <v>ΦΕΒ-17</v>
      </c>
      <c r="F3" s="33" t="str">
        <f ca="1">UPPER(TEXT(DATE(ΈτοςΈναρξηςΟΕ,ΑρΜήναΟΕ+2,1),"μμμ-εε"))</f>
        <v>ΜΑΡ-17</v>
      </c>
      <c r="G3" s="33" t="str">
        <f ca="1">UPPER(TEXT(DATE(ΈτοςΈναρξηςΟΕ,ΑρΜήναΟΕ+3,1),"μμμ-εε"))</f>
        <v>ΑΠΡ-17</v>
      </c>
      <c r="H3" s="33" t="str">
        <f ca="1">UPPER(TEXT(DATE(ΈτοςΈναρξηςΟΕ,ΑρΜήναΟΕ+4,1),"μμμ-εε"))</f>
        <v>ΜΑΪ-17</v>
      </c>
      <c r="I3" s="33" t="str">
        <f ca="1">UPPER(TEXT(DATE(ΈτοςΈναρξηςΟΕ,ΑρΜήναΟΕ+5,1),"μμμ-εε"))</f>
        <v>ΙΟΥΝ-17</v>
      </c>
      <c r="J3" s="33" t="str">
        <f ca="1">UPPER(TEXT(DATE(ΈτοςΈναρξηςΟΕ,ΑρΜήναΟΕ+6,1),"μμμ-εε"))</f>
        <v>ΙΟΥΛ-17</v>
      </c>
      <c r="K3" s="33" t="str">
        <f ca="1">UPPER(TEXT(DATE(ΈτοςΈναρξηςΟΕ,ΑρΜήναΟΕ+7,1),"μμμ-εε"))</f>
        <v>ΑΥΓ-17</v>
      </c>
      <c r="L3" s="33" t="str">
        <f ca="1">UPPER(TEXT(DATE(ΈτοςΈναρξηςΟΕ,ΑρΜήναΟΕ+8,1),"μμμ-εε"))</f>
        <v>ΣΕΠ-17</v>
      </c>
      <c r="M3" s="33" t="str">
        <f ca="1">UPPER(TEXT(DATE(ΈτοςΈναρξηςΟΕ,ΑρΜήναΟΕ+9,1),"μμμ-εε"))</f>
        <v>ΟΚΤ-17</v>
      </c>
      <c r="N3" s="33" t="str">
        <f ca="1">UPPER(TEXT(DATE(ΈτοςΈναρξηςΟΕ,ΑρΜήναΟΕ+10,1),"μμμ-εε"))</f>
        <v>ΝΟΕ-17</v>
      </c>
      <c r="O3" s="33" t="str">
        <f ca="1">UPPER(TEXT(DATE(ΈτοςΈναρξηςΟΕ,ΑρΜήναΟΕ+11,1),"μμμ-εε"))</f>
        <v>ΔΕΚ-17</v>
      </c>
      <c r="P3" s="33" t="s">
        <v>19</v>
      </c>
      <c r="Q3" s="33" t="s">
        <v>62</v>
      </c>
      <c r="R3" s="33" t="str">
        <f ca="1">LEFT(D3,3)&amp;" %"</f>
        <v>ΙΑΝ %</v>
      </c>
      <c r="S3" s="33" t="str">
        <f t="shared" ref="S3:AC3" ca="1" si="0">LEFT(E3,3)&amp;" %"</f>
        <v>ΦΕΒ %</v>
      </c>
      <c r="T3" s="33" t="str">
        <f t="shared" ca="1" si="0"/>
        <v>ΜΑΡ %</v>
      </c>
      <c r="U3" s="33" t="str">
        <f t="shared" ca="1" si="0"/>
        <v>ΑΠΡ %</v>
      </c>
      <c r="V3" s="33" t="str">
        <f ca="1">LEFT(H3,3)&amp;" %"</f>
        <v>ΜΑΪ %</v>
      </c>
      <c r="W3" s="33" t="str">
        <f ca="1">LEFT(I3,3)&amp;" %"</f>
        <v>ΙΟΥ %</v>
      </c>
      <c r="X3" s="33" t="str">
        <f ca="1">LEFT(J3,3)&amp;" %"</f>
        <v>ΙΟΥ %</v>
      </c>
      <c r="Y3" s="33" t="str">
        <f t="shared" ca="1" si="0"/>
        <v>ΑΥΓ %</v>
      </c>
      <c r="Z3" s="33" t="str">
        <f t="shared" ca="1" si="0"/>
        <v>ΣΕΠ %</v>
      </c>
      <c r="AA3" s="33" t="str">
        <f t="shared" ca="1" si="0"/>
        <v>ΟΚΤ %</v>
      </c>
      <c r="AB3" s="33" t="str">
        <f t="shared" ca="1" si="0"/>
        <v>ΝΟΕ %</v>
      </c>
      <c r="AC3" s="33" t="str">
        <f t="shared" ca="1" si="0"/>
        <v>ΔΕΚ %</v>
      </c>
      <c r="AD3" s="33" t="s">
        <v>63</v>
      </c>
    </row>
    <row r="4" spans="1:30" ht="30" customHeight="1" x14ac:dyDescent="0.2">
      <c r="B4" s="7" t="s">
        <v>2</v>
      </c>
      <c r="C4" s="7" t="s">
        <v>11</v>
      </c>
      <c r="D4" s="8" t="s">
        <v>12</v>
      </c>
      <c r="E4" s="8" t="s">
        <v>13</v>
      </c>
      <c r="F4" s="8" t="s">
        <v>14</v>
      </c>
      <c r="G4" s="8" t="s">
        <v>15</v>
      </c>
      <c r="H4" s="8" t="s">
        <v>57</v>
      </c>
      <c r="I4" s="8" t="s">
        <v>58</v>
      </c>
      <c r="J4" s="8" t="s">
        <v>59</v>
      </c>
      <c r="K4" s="8" t="s">
        <v>60</v>
      </c>
      <c r="L4" s="8" t="s">
        <v>16</v>
      </c>
      <c r="M4" s="8" t="s">
        <v>17</v>
      </c>
      <c r="N4" s="8" t="s">
        <v>61</v>
      </c>
      <c r="O4" s="8" t="s">
        <v>18</v>
      </c>
      <c r="P4" s="8" t="s">
        <v>20</v>
      </c>
      <c r="Q4" s="41" t="s">
        <v>64</v>
      </c>
      <c r="R4" s="41" t="s">
        <v>65</v>
      </c>
      <c r="S4" s="41" t="s">
        <v>66</v>
      </c>
      <c r="T4" s="41" t="s">
        <v>77</v>
      </c>
      <c r="U4" s="41" t="s">
        <v>67</v>
      </c>
      <c r="V4" s="41" t="s">
        <v>68</v>
      </c>
      <c r="W4" s="41" t="s">
        <v>69</v>
      </c>
      <c r="X4" s="41" t="s">
        <v>70</v>
      </c>
      <c r="Y4" s="41" t="s">
        <v>71</v>
      </c>
      <c r="Z4" s="41" t="s">
        <v>72</v>
      </c>
      <c r="AA4" s="41" t="s">
        <v>73</v>
      </c>
      <c r="AB4" s="41" t="s">
        <v>74</v>
      </c>
      <c r="AC4" s="41" t="s">
        <v>75</v>
      </c>
      <c r="AD4" s="42" t="s">
        <v>76</v>
      </c>
    </row>
    <row r="5" spans="1:30" ht="30" customHeight="1" x14ac:dyDescent="0.2">
      <c r="B5" s="26" t="s">
        <v>3</v>
      </c>
      <c r="C5" s="27"/>
      <c r="D5" s="39">
        <v>186</v>
      </c>
      <c r="E5" s="39">
        <v>108</v>
      </c>
      <c r="F5" s="39">
        <v>92</v>
      </c>
      <c r="G5" s="39">
        <v>122</v>
      </c>
      <c r="H5" s="39">
        <v>190</v>
      </c>
      <c r="I5" s="39">
        <v>71</v>
      </c>
      <c r="J5" s="39">
        <v>21</v>
      </c>
      <c r="K5" s="39">
        <v>37</v>
      </c>
      <c r="L5" s="39">
        <v>24</v>
      </c>
      <c r="M5" s="39">
        <v>178</v>
      </c>
      <c r="N5" s="39">
        <v>92</v>
      </c>
      <c r="O5" s="39">
        <v>97</v>
      </c>
      <c r="P5" s="28">
        <f>SUM(Έσοδα[[#This Row],[Ιαν]:[Δεκ]])</f>
        <v>1218</v>
      </c>
      <c r="Q5" s="29">
        <v>0.12</v>
      </c>
      <c r="R5" s="30">
        <f>IFERROR(Έσοδα[[#This Row],[Ιαν]]/Έσοδα[[#Totals],[Ιαν]],"-")</f>
        <v>0.29807692307692307</v>
      </c>
      <c r="S5" s="30">
        <f>IFERROR(Έσοδα[[#This Row],[Φεβ]]/Έσοδα[[#Totals],[Φεβ]],"-")</f>
        <v>0.14673913043478262</v>
      </c>
      <c r="T5" s="30">
        <f>IFERROR(Έσοδα[[#This Row],[Μαρ]]/Έσοδα[[#Totals],[Μαρ]],"-")</f>
        <v>0.11219512195121951</v>
      </c>
      <c r="U5" s="30">
        <f>IFERROR(Έσοδα[[#This Row],[Απρ]]/Έσοδα[[#Totals],[Απρ]],"-")</f>
        <v>0.19967266775777415</v>
      </c>
      <c r="V5" s="30">
        <f>IFERROR(Έσοδα[[#This Row],[Μαϊ]]/Έσοδα[[#Totals],[Μαϊ]],"-")</f>
        <v>0.23399014778325122</v>
      </c>
      <c r="W5" s="30">
        <f>IFERROR(Έσοδα[[#This Row],[Ιουν]]/Έσοδα[[#Totals],[Ιουν]],"-")</f>
        <v>0.12283737024221453</v>
      </c>
      <c r="X5" s="30">
        <f>IFERROR(Έσοδα[[#This Row],[Ιουλ]]/Έσοδα[[#Totals],[Ιουλ]],"-")</f>
        <v>3.5175879396984924E-2</v>
      </c>
      <c r="Y5" s="30">
        <f>IFERROR(Έσοδα[[#This Row],[Αυγ]]/Έσοδα[[#Totals],[Αυγ]],"-")</f>
        <v>5.4814814814814816E-2</v>
      </c>
      <c r="Z5" s="30">
        <f>IFERROR(Έσοδα[[#This Row],[Σεπ]]/Έσοδα[[#Totals],[Σεπ]],"-")</f>
        <v>3.2258064516129031E-2</v>
      </c>
      <c r="AA5" s="30">
        <f>IFERROR(Έσοδα[[#This Row],[Οκτ]]/Έσοδα[[#Totals],[Οκτ]],"-")</f>
        <v>0.26138032305433184</v>
      </c>
      <c r="AB5" s="30">
        <f>IFERROR(Έσοδα[[#This Row],[Νοε]]/Έσοδα[[#Totals],[Νοε]],"-")</f>
        <v>0.12449255751014884</v>
      </c>
      <c r="AC5" s="30">
        <f>IFERROR(Έσοδα[[#This Row],[Δεκ]]/Έσοδα[[#Totals],[Δεκ]],"-")</f>
        <v>9.3000958772770856E-2</v>
      </c>
      <c r="AD5" s="30">
        <f>IFERROR(Έσοδα[[#This Row],[Ετήσια]]/Έσοδα[[#Totals],[Ετήσια]],"-")</f>
        <v>0.14064665127020784</v>
      </c>
    </row>
    <row r="6" spans="1:30" ht="30" customHeight="1" x14ac:dyDescent="0.2">
      <c r="B6" s="26" t="s">
        <v>4</v>
      </c>
      <c r="C6" s="27"/>
      <c r="D6" s="39">
        <v>15</v>
      </c>
      <c r="E6" s="39">
        <v>16</v>
      </c>
      <c r="F6" s="39">
        <v>198</v>
      </c>
      <c r="G6" s="39">
        <v>44</v>
      </c>
      <c r="H6" s="39">
        <v>25</v>
      </c>
      <c r="I6" s="39">
        <v>68</v>
      </c>
      <c r="J6" s="39">
        <v>43</v>
      </c>
      <c r="K6" s="39">
        <v>119</v>
      </c>
      <c r="L6" s="39">
        <v>37</v>
      </c>
      <c r="M6" s="39">
        <v>118</v>
      </c>
      <c r="N6" s="39">
        <v>29</v>
      </c>
      <c r="O6" s="39">
        <v>171</v>
      </c>
      <c r="P6" s="28">
        <f>SUM(Έσοδα[[#This Row],[Ιαν]:[Δεκ]])</f>
        <v>883</v>
      </c>
      <c r="Q6" s="29">
        <v>0.18</v>
      </c>
      <c r="R6" s="30">
        <f>IFERROR(Έσοδα[[#This Row],[Ιαν]]/Έσοδα[[#Totals],[Ιαν]],"-")</f>
        <v>2.403846153846154E-2</v>
      </c>
      <c r="S6" s="30">
        <f>IFERROR(Έσοδα[[#This Row],[Φεβ]]/Έσοδα[[#Totals],[Φεβ]],"-")</f>
        <v>2.1739130434782608E-2</v>
      </c>
      <c r="T6" s="30">
        <f>IFERROR(Έσοδα[[#This Row],[Μαρ]]/Έσοδα[[#Totals],[Μαρ]],"-")</f>
        <v>0.24146341463414633</v>
      </c>
      <c r="U6" s="30">
        <f>IFERROR(Έσοδα[[#This Row],[Απρ]]/Έσοδα[[#Totals],[Απρ]],"-")</f>
        <v>7.2013093289689037E-2</v>
      </c>
      <c r="V6" s="30">
        <f>IFERROR(Έσοδα[[#This Row],[Μαϊ]]/Έσοδα[[#Totals],[Μαϊ]],"-")</f>
        <v>3.0788177339901478E-2</v>
      </c>
      <c r="W6" s="30">
        <f>IFERROR(Έσοδα[[#This Row],[Ιουν]]/Έσοδα[[#Totals],[Ιουν]],"-")</f>
        <v>0.11764705882352941</v>
      </c>
      <c r="X6" s="30">
        <f>IFERROR(Έσοδα[[#This Row],[Ιουλ]]/Έσοδα[[#Totals],[Ιουλ]],"-")</f>
        <v>7.2026800670016752E-2</v>
      </c>
      <c r="Y6" s="30">
        <f>IFERROR(Έσοδα[[#This Row],[Αυγ]]/Έσοδα[[#Totals],[Αυγ]],"-")</f>
        <v>0.17629629629629628</v>
      </c>
      <c r="Z6" s="30">
        <f>IFERROR(Έσοδα[[#This Row],[Σεπ]]/Έσοδα[[#Totals],[Σεπ]],"-")</f>
        <v>4.9731182795698922E-2</v>
      </c>
      <c r="AA6" s="30">
        <f>IFERROR(Έσοδα[[#This Row],[Οκτ]]/Έσοδα[[#Totals],[Οκτ]],"-")</f>
        <v>0.17327459618208516</v>
      </c>
      <c r="AB6" s="30">
        <f>IFERROR(Έσοδα[[#This Row],[Νοε]]/Έσοδα[[#Totals],[Νοε]],"-")</f>
        <v>3.9242219215155617E-2</v>
      </c>
      <c r="AC6" s="30">
        <f>IFERROR(Έσοδα[[#This Row],[Δεκ]]/Έσοδα[[#Totals],[Δεκ]],"-")</f>
        <v>0.16395014381591563</v>
      </c>
      <c r="AD6" s="30">
        <f>IFERROR(Έσοδα[[#This Row],[Ετήσια]]/Έσοδα[[#Totals],[Ετήσια]],"-")</f>
        <v>0.10196304849884527</v>
      </c>
    </row>
    <row r="7" spans="1:30" ht="30" customHeight="1" x14ac:dyDescent="0.2">
      <c r="B7" s="26" t="s">
        <v>5</v>
      </c>
      <c r="C7" s="27"/>
      <c r="D7" s="39">
        <v>166</v>
      </c>
      <c r="E7" s="39">
        <v>185</v>
      </c>
      <c r="F7" s="39">
        <v>89</v>
      </c>
      <c r="G7" s="39">
        <v>170</v>
      </c>
      <c r="H7" s="39">
        <v>131</v>
      </c>
      <c r="I7" s="39">
        <v>70</v>
      </c>
      <c r="J7" s="39">
        <v>50</v>
      </c>
      <c r="K7" s="39">
        <v>149</v>
      </c>
      <c r="L7" s="39">
        <v>179</v>
      </c>
      <c r="M7" s="39">
        <v>104</v>
      </c>
      <c r="N7" s="39">
        <v>119</v>
      </c>
      <c r="O7" s="39">
        <v>187</v>
      </c>
      <c r="P7" s="28">
        <f>SUM(Έσοδα[[#This Row],[Ιαν]:[Δεκ]])</f>
        <v>1599</v>
      </c>
      <c r="Q7" s="29">
        <v>0.19</v>
      </c>
      <c r="R7" s="30">
        <f>IFERROR(Έσοδα[[#This Row],[Ιαν]]/Έσοδα[[#Totals],[Ιαν]],"-")</f>
        <v>0.26602564102564102</v>
      </c>
      <c r="S7" s="30">
        <f>IFERROR(Έσοδα[[#This Row],[Φεβ]]/Έσοδα[[#Totals],[Φεβ]],"-")</f>
        <v>0.25135869565217389</v>
      </c>
      <c r="T7" s="30">
        <f>IFERROR(Έσοδα[[#This Row],[Μαρ]]/Έσοδα[[#Totals],[Μαρ]],"-")</f>
        <v>0.10853658536585366</v>
      </c>
      <c r="U7" s="30">
        <f>IFERROR(Έσοδα[[#This Row],[Απρ]]/Έσοδα[[#Totals],[Απρ]],"-")</f>
        <v>0.27823240589198034</v>
      </c>
      <c r="V7" s="30">
        <f>IFERROR(Έσοδα[[#This Row],[Μαϊ]]/Έσοδα[[#Totals],[Μαϊ]],"-")</f>
        <v>0.16133004926108374</v>
      </c>
      <c r="W7" s="30">
        <f>IFERROR(Έσοδα[[#This Row],[Ιουν]]/Έσοδα[[#Totals],[Ιουν]],"-")</f>
        <v>0.12110726643598616</v>
      </c>
      <c r="X7" s="30">
        <f>IFERROR(Έσοδα[[#This Row],[Ιουλ]]/Έσοδα[[#Totals],[Ιουλ]],"-")</f>
        <v>8.3752093802345065E-2</v>
      </c>
      <c r="Y7" s="30">
        <f>IFERROR(Έσοδα[[#This Row],[Αυγ]]/Έσοδα[[#Totals],[Αυγ]],"-")</f>
        <v>0.22074074074074074</v>
      </c>
      <c r="Z7" s="30">
        <f>IFERROR(Έσοδα[[#This Row],[Σεπ]]/Έσοδα[[#Totals],[Σεπ]],"-")</f>
        <v>0.24059139784946237</v>
      </c>
      <c r="AA7" s="30">
        <f>IFERROR(Έσοδα[[#This Row],[Οκτ]]/Έσοδα[[#Totals],[Οκτ]],"-")</f>
        <v>0.1527165932452276</v>
      </c>
      <c r="AB7" s="30">
        <f>IFERROR(Έσοδα[[#This Row],[Νοε]]/Έσοδα[[#Totals],[Νοε]],"-")</f>
        <v>0.16102841677943167</v>
      </c>
      <c r="AC7" s="30">
        <f>IFERROR(Έσοδα[[#This Row],[Δεκ]]/Έσοδα[[#Totals],[Δεκ]],"-")</f>
        <v>0.17929050814956854</v>
      </c>
      <c r="AD7" s="30">
        <f>IFERROR(Έσοδα[[#This Row],[Ετήσια]]/Έσοδα[[#Totals],[Ετήσια]],"-")</f>
        <v>0.18464203233256352</v>
      </c>
    </row>
    <row r="8" spans="1:30" ht="30" customHeight="1" x14ac:dyDescent="0.2">
      <c r="B8" s="26" t="s">
        <v>6</v>
      </c>
      <c r="C8" s="27"/>
      <c r="D8" s="39">
        <v>21</v>
      </c>
      <c r="E8" s="39">
        <v>113</v>
      </c>
      <c r="F8" s="39">
        <v>83</v>
      </c>
      <c r="G8" s="39">
        <v>17</v>
      </c>
      <c r="H8" s="39">
        <v>130</v>
      </c>
      <c r="I8" s="39">
        <v>26</v>
      </c>
      <c r="J8" s="39">
        <v>167</v>
      </c>
      <c r="K8" s="39">
        <v>102</v>
      </c>
      <c r="L8" s="39">
        <v>82</v>
      </c>
      <c r="M8" s="39">
        <v>33</v>
      </c>
      <c r="N8" s="39">
        <v>88</v>
      </c>
      <c r="O8" s="39">
        <v>193</v>
      </c>
      <c r="P8" s="28">
        <f>SUM(Έσοδα[[#This Row],[Ιαν]:[Δεκ]])</f>
        <v>1055</v>
      </c>
      <c r="Q8" s="29">
        <v>0.11</v>
      </c>
      <c r="R8" s="30">
        <f>IFERROR(Έσοδα[[#This Row],[Ιαν]]/Έσοδα[[#Totals],[Ιαν]],"-")</f>
        <v>3.3653846153846152E-2</v>
      </c>
      <c r="S8" s="30">
        <f>IFERROR(Έσοδα[[#This Row],[Φεβ]]/Έσοδα[[#Totals],[Φεβ]],"-")</f>
        <v>0.15353260869565216</v>
      </c>
      <c r="T8" s="30">
        <f>IFERROR(Έσοδα[[#This Row],[Μαρ]]/Έσοδα[[#Totals],[Μαρ]],"-")</f>
        <v>0.10121951219512196</v>
      </c>
      <c r="U8" s="30">
        <f>IFERROR(Έσοδα[[#This Row],[Απρ]]/Έσοδα[[#Totals],[Απρ]],"-")</f>
        <v>2.7823240589198037E-2</v>
      </c>
      <c r="V8" s="30">
        <f>IFERROR(Έσοδα[[#This Row],[Μαϊ]]/Έσοδα[[#Totals],[Μαϊ]],"-")</f>
        <v>0.16009852216748768</v>
      </c>
      <c r="W8" s="30">
        <f>IFERROR(Έσοδα[[#This Row],[Ιουν]]/Έσοδα[[#Totals],[Ιουν]],"-")</f>
        <v>4.4982698961937718E-2</v>
      </c>
      <c r="X8" s="30">
        <f>IFERROR(Έσοδα[[#This Row],[Ιουλ]]/Έσοδα[[#Totals],[Ιουλ]],"-")</f>
        <v>0.2797319932998325</v>
      </c>
      <c r="Y8" s="30">
        <f>IFERROR(Έσοδα[[#This Row],[Αυγ]]/Έσοδα[[#Totals],[Αυγ]],"-")</f>
        <v>0.15111111111111111</v>
      </c>
      <c r="Z8" s="30">
        <f>IFERROR(Έσοδα[[#This Row],[Σεπ]]/Έσοδα[[#Totals],[Σεπ]],"-")</f>
        <v>0.11021505376344086</v>
      </c>
      <c r="AA8" s="30">
        <f>IFERROR(Έσοδα[[#This Row],[Οκτ]]/Έσοδα[[#Totals],[Οκτ]],"-")</f>
        <v>4.8458149779735685E-2</v>
      </c>
      <c r="AB8" s="30">
        <f>IFERROR(Έσοδα[[#This Row],[Νοε]]/Έσοδα[[#Totals],[Νοε]],"-")</f>
        <v>0.11907983761840325</v>
      </c>
      <c r="AC8" s="30">
        <f>IFERROR(Έσοδα[[#This Row],[Δεκ]]/Έσοδα[[#Totals],[Δεκ]],"-")</f>
        <v>0.18504314477468839</v>
      </c>
      <c r="AD8" s="30">
        <f>IFERROR(Έσοδα[[#This Row],[Ετήσια]]/Έσοδα[[#Totals],[Ετήσια]],"-")</f>
        <v>0.12182448036951501</v>
      </c>
    </row>
    <row r="9" spans="1:30" ht="30" customHeight="1" x14ac:dyDescent="0.2">
      <c r="B9" s="26" t="s">
        <v>7</v>
      </c>
      <c r="C9" s="27"/>
      <c r="D9" s="39">
        <v>70</v>
      </c>
      <c r="E9" s="39">
        <v>160</v>
      </c>
      <c r="F9" s="39">
        <v>125</v>
      </c>
      <c r="G9" s="39">
        <v>84</v>
      </c>
      <c r="H9" s="39">
        <v>191</v>
      </c>
      <c r="I9" s="39">
        <v>97</v>
      </c>
      <c r="J9" s="39">
        <v>52</v>
      </c>
      <c r="K9" s="39">
        <v>45</v>
      </c>
      <c r="L9" s="39">
        <v>173</v>
      </c>
      <c r="M9" s="39">
        <v>136</v>
      </c>
      <c r="N9" s="39">
        <v>144</v>
      </c>
      <c r="O9" s="39">
        <v>167</v>
      </c>
      <c r="P9" s="28">
        <f>SUM(Έσοδα[[#This Row],[Ιαν]:[Δεκ]])</f>
        <v>1444</v>
      </c>
      <c r="Q9" s="29">
        <v>0.2</v>
      </c>
      <c r="R9" s="30">
        <f>IFERROR(Έσοδα[[#This Row],[Ιαν]]/Έσοδα[[#Totals],[Ιαν]],"-")</f>
        <v>0.11217948717948718</v>
      </c>
      <c r="S9" s="30">
        <f>IFERROR(Έσοδα[[#This Row],[Φεβ]]/Έσοδα[[#Totals],[Φεβ]],"-")</f>
        <v>0.21739130434782608</v>
      </c>
      <c r="T9" s="30">
        <f>IFERROR(Έσοδα[[#This Row],[Μαρ]]/Έσοδα[[#Totals],[Μαρ]],"-")</f>
        <v>0.1524390243902439</v>
      </c>
      <c r="U9" s="30">
        <f>IFERROR(Έσοδα[[#This Row],[Απρ]]/Έσοδα[[#Totals],[Απρ]],"-")</f>
        <v>0.13747954173486088</v>
      </c>
      <c r="V9" s="30">
        <f>IFERROR(Έσοδα[[#This Row],[Μαϊ]]/Έσοδα[[#Totals],[Μαϊ]],"-")</f>
        <v>0.23522167487684728</v>
      </c>
      <c r="W9" s="30">
        <f>IFERROR(Έσοδα[[#This Row],[Ιουν]]/Έσοδα[[#Totals],[Ιουν]],"-")</f>
        <v>0.16782006920415224</v>
      </c>
      <c r="X9" s="30">
        <f>IFERROR(Έσοδα[[#This Row],[Ιουλ]]/Έσοδα[[#Totals],[Ιουλ]],"-")</f>
        <v>8.7102177554438859E-2</v>
      </c>
      <c r="Y9" s="30">
        <f>IFERROR(Έσοδα[[#This Row],[Αυγ]]/Έσοδα[[#Totals],[Αυγ]],"-")</f>
        <v>6.6666666666666666E-2</v>
      </c>
      <c r="Z9" s="30">
        <f>IFERROR(Έσοδα[[#This Row],[Σεπ]]/Έσοδα[[#Totals],[Σεπ]],"-")</f>
        <v>0.2325268817204301</v>
      </c>
      <c r="AA9" s="30">
        <f>IFERROR(Έσοδα[[#This Row],[Οκτ]]/Έσοδα[[#Totals],[Οκτ]],"-")</f>
        <v>0.19970631424375918</v>
      </c>
      <c r="AB9" s="30">
        <f>IFERROR(Έσοδα[[#This Row],[Νοε]]/Έσοδα[[#Totals],[Νοε]],"-")</f>
        <v>0.19485791610284167</v>
      </c>
      <c r="AC9" s="30">
        <f>IFERROR(Έσοδα[[#This Row],[Δεκ]]/Έσοδα[[#Totals],[Δεκ]],"-")</f>
        <v>0.1601150527325024</v>
      </c>
      <c r="AD9" s="30">
        <f>IFERROR(Έσοδα[[#This Row],[Ετήσια]]/Έσοδα[[#Totals],[Ετήσια]],"-")</f>
        <v>0.16674364896073904</v>
      </c>
    </row>
    <row r="10" spans="1:30" ht="30" customHeight="1" x14ac:dyDescent="0.2">
      <c r="B10" s="26" t="s">
        <v>8</v>
      </c>
      <c r="C10" s="27"/>
      <c r="D10" s="39">
        <v>61</v>
      </c>
      <c r="E10" s="39">
        <v>99</v>
      </c>
      <c r="F10" s="39">
        <v>70</v>
      </c>
      <c r="G10" s="39">
        <v>162</v>
      </c>
      <c r="H10" s="39">
        <v>28</v>
      </c>
      <c r="I10" s="39">
        <v>163</v>
      </c>
      <c r="J10" s="39">
        <v>101</v>
      </c>
      <c r="K10" s="39">
        <v>103</v>
      </c>
      <c r="L10" s="39">
        <v>78</v>
      </c>
      <c r="M10" s="39">
        <v>33</v>
      </c>
      <c r="N10" s="39">
        <v>162</v>
      </c>
      <c r="O10" s="39">
        <v>159</v>
      </c>
      <c r="P10" s="28">
        <f>SUM(Έσοδα[[#This Row],[Ιαν]:[Δεκ]])</f>
        <v>1219</v>
      </c>
      <c r="Q10" s="29">
        <v>0.1</v>
      </c>
      <c r="R10" s="30">
        <f>IFERROR(Έσοδα[[#This Row],[Ιαν]]/Έσοδα[[#Totals],[Ιαν]],"-")</f>
        <v>9.7756410256410256E-2</v>
      </c>
      <c r="S10" s="30">
        <f>IFERROR(Έσοδα[[#This Row],[Φεβ]]/Έσοδα[[#Totals],[Φεβ]],"-")</f>
        <v>0.13451086956521738</v>
      </c>
      <c r="T10" s="30">
        <f>IFERROR(Έσοδα[[#This Row],[Μαρ]]/Έσοδα[[#Totals],[Μαρ]],"-")</f>
        <v>8.5365853658536592E-2</v>
      </c>
      <c r="U10" s="30">
        <f>IFERROR(Έσοδα[[#This Row],[Απρ]]/Έσοδα[[#Totals],[Απρ]],"-")</f>
        <v>0.265139116202946</v>
      </c>
      <c r="V10" s="30">
        <f>IFERROR(Έσοδα[[#This Row],[Μαϊ]]/Έσοδα[[#Totals],[Μαϊ]],"-")</f>
        <v>3.4482758620689655E-2</v>
      </c>
      <c r="W10" s="30">
        <f>IFERROR(Έσοδα[[#This Row],[Ιουν]]/Έσοδα[[#Totals],[Ιουν]],"-")</f>
        <v>0.2820069204152249</v>
      </c>
      <c r="X10" s="30">
        <f>IFERROR(Έσοδα[[#This Row],[Ιουλ]]/Έσοδα[[#Totals],[Ιουλ]],"-")</f>
        <v>0.16917922948073702</v>
      </c>
      <c r="Y10" s="30">
        <f>IFERROR(Έσοδα[[#This Row],[Αυγ]]/Έσοδα[[#Totals],[Αυγ]],"-")</f>
        <v>0.15259259259259259</v>
      </c>
      <c r="Z10" s="30">
        <f>IFERROR(Έσοδα[[#This Row],[Σεπ]]/Έσοδα[[#Totals],[Σεπ]],"-")</f>
        <v>0.10483870967741936</v>
      </c>
      <c r="AA10" s="30">
        <f>IFERROR(Έσοδα[[#This Row],[Οκτ]]/Έσοδα[[#Totals],[Οκτ]],"-")</f>
        <v>4.8458149779735685E-2</v>
      </c>
      <c r="AB10" s="30">
        <f>IFERROR(Έσοδα[[#This Row],[Νοε]]/Έσοδα[[#Totals],[Νοε]],"-")</f>
        <v>0.21921515561569688</v>
      </c>
      <c r="AC10" s="30">
        <f>IFERROR(Έσοδα[[#This Row],[Δεκ]]/Έσοδα[[#Totals],[Δεκ]],"-")</f>
        <v>0.15244487056567593</v>
      </c>
      <c r="AD10" s="30">
        <f>IFERROR(Έσοδα[[#This Row],[Ετήσια]]/Έσοδα[[#Totals],[Ετήσια]],"-")</f>
        <v>0.14076212471131641</v>
      </c>
    </row>
    <row r="11" spans="1:30" ht="30" customHeight="1" x14ac:dyDescent="0.2">
      <c r="B11" s="26" t="s">
        <v>9</v>
      </c>
      <c r="C11" s="27"/>
      <c r="D11" s="39">
        <v>105</v>
      </c>
      <c r="E11" s="39">
        <v>55</v>
      </c>
      <c r="F11" s="39">
        <v>163</v>
      </c>
      <c r="G11" s="39">
        <v>12</v>
      </c>
      <c r="H11" s="39">
        <v>117</v>
      </c>
      <c r="I11" s="39">
        <v>83</v>
      </c>
      <c r="J11" s="39">
        <v>163</v>
      </c>
      <c r="K11" s="39">
        <v>120</v>
      </c>
      <c r="L11" s="39">
        <v>171</v>
      </c>
      <c r="M11" s="39">
        <v>79</v>
      </c>
      <c r="N11" s="39">
        <v>105</v>
      </c>
      <c r="O11" s="39">
        <v>69</v>
      </c>
      <c r="P11" s="28">
        <f>SUM(Έσοδα[[#This Row],[Ιαν]:[Δεκ]])</f>
        <v>1242</v>
      </c>
      <c r="Q11" s="29">
        <v>0.1</v>
      </c>
      <c r="R11" s="30">
        <f>IFERROR(Έσοδα[[#This Row],[Ιαν]]/Έσοδα[[#Totals],[Ιαν]],"-")</f>
        <v>0.16826923076923078</v>
      </c>
      <c r="S11" s="30">
        <f>IFERROR(Έσοδα[[#This Row],[Φεβ]]/Έσοδα[[#Totals],[Φεβ]],"-")</f>
        <v>7.4728260869565216E-2</v>
      </c>
      <c r="T11" s="30">
        <f>IFERROR(Έσοδα[[#This Row],[Μαρ]]/Έσοδα[[#Totals],[Μαρ]],"-")</f>
        <v>0.19878048780487806</v>
      </c>
      <c r="U11" s="30">
        <f>IFERROR(Έσοδα[[#This Row],[Απρ]]/Έσοδα[[#Totals],[Απρ]],"-")</f>
        <v>1.9639934533551555E-2</v>
      </c>
      <c r="V11" s="30">
        <f>IFERROR(Έσοδα[[#This Row],[Μαϊ]]/Έσοδα[[#Totals],[Μαϊ]],"-")</f>
        <v>0.14408866995073891</v>
      </c>
      <c r="W11" s="30">
        <f>IFERROR(Έσοδα[[#This Row],[Ιουν]]/Έσοδα[[#Totals],[Ιουν]],"-")</f>
        <v>0.14359861591695502</v>
      </c>
      <c r="X11" s="30">
        <f>IFERROR(Έσοδα[[#This Row],[Ιουλ]]/Έσοδα[[#Totals],[Ιουλ]],"-")</f>
        <v>0.27303182579564489</v>
      </c>
      <c r="Y11" s="30">
        <f>IFERROR(Έσοδα[[#This Row],[Αυγ]]/Έσοδα[[#Totals],[Αυγ]],"-")</f>
        <v>0.17777777777777778</v>
      </c>
      <c r="Z11" s="30">
        <f>IFERROR(Έσοδα[[#This Row],[Σεπ]]/Έσοδα[[#Totals],[Σεπ]],"-")</f>
        <v>0.22983870967741934</v>
      </c>
      <c r="AA11" s="30">
        <f>IFERROR(Έσοδα[[#This Row],[Οκτ]]/Έσοδα[[#Totals],[Οκτ]],"-")</f>
        <v>0.11600587371512482</v>
      </c>
      <c r="AB11" s="30">
        <f>IFERROR(Έσοδα[[#This Row],[Νοε]]/Έσοδα[[#Totals],[Νοε]],"-")</f>
        <v>0.14208389715832206</v>
      </c>
      <c r="AC11" s="30">
        <f>IFERROR(Έσοδα[[#This Row],[Δεκ]]/Έσοδα[[#Totals],[Δεκ]],"-")</f>
        <v>6.6155321188878236E-2</v>
      </c>
      <c r="AD11" s="30">
        <f>IFERROR(Έσοδα[[#This Row],[Ετήσια]]/Έσοδα[[#Totals],[Ετήσια]],"-")</f>
        <v>0.14341801385681294</v>
      </c>
    </row>
    <row r="12" spans="1:30" ht="30" customHeight="1" x14ac:dyDescent="0.2">
      <c r="B12" s="14" t="s">
        <v>10</v>
      </c>
      <c r="C12" s="15"/>
      <c r="D12" s="40">
        <f>SUBTOTAL(109,Έσοδα[Ιαν])</f>
        <v>624</v>
      </c>
      <c r="E12" s="40">
        <f>SUBTOTAL(109,Έσοδα[Φεβ])</f>
        <v>736</v>
      </c>
      <c r="F12" s="40">
        <f>SUBTOTAL(109,Έσοδα[Μαρ])</f>
        <v>820</v>
      </c>
      <c r="G12" s="40">
        <f>SUBTOTAL(109,Έσοδα[Απρ])</f>
        <v>611</v>
      </c>
      <c r="H12" s="40">
        <f>SUBTOTAL(109,Έσοδα[Μαϊ])</f>
        <v>812</v>
      </c>
      <c r="I12" s="40">
        <f>SUBTOTAL(109,Έσοδα[Ιουν])</f>
        <v>578</v>
      </c>
      <c r="J12" s="40">
        <f>SUBTOTAL(109,Έσοδα[Ιουλ])</f>
        <v>597</v>
      </c>
      <c r="K12" s="40">
        <f>SUBTOTAL(109,Έσοδα[Αυγ])</f>
        <v>675</v>
      </c>
      <c r="L12" s="40">
        <f>SUBTOTAL(109,Έσοδα[Σεπ])</f>
        <v>744</v>
      </c>
      <c r="M12" s="40">
        <f>SUBTOTAL(109,Έσοδα[Οκτ])</f>
        <v>681</v>
      </c>
      <c r="N12" s="40">
        <f>SUBTOTAL(109,Έσοδα[Νοε])</f>
        <v>739</v>
      </c>
      <c r="O12" s="40">
        <f>SUBTOTAL(109,Έσοδα[Δεκ])</f>
        <v>1043</v>
      </c>
      <c r="P12" s="40">
        <f>SUBTOTAL(109,Έσοδα[Ετήσια])</f>
        <v>8660</v>
      </c>
      <c r="Q12" s="16">
        <f>SUBTOTAL(109,Έσοδα[δείκτης %])</f>
        <v>1</v>
      </c>
      <c r="R12" s="16">
        <f>SUBTOTAL(109,Έσοδα[Ιαν %])</f>
        <v>1</v>
      </c>
      <c r="S12" s="16">
        <f>SUBTOTAL(109,Έσοδα[Φεβ %])</f>
        <v>1</v>
      </c>
      <c r="T12" s="16">
        <f>SUBTOTAL(109,Έσοδα[Μαρ %])</f>
        <v>1</v>
      </c>
      <c r="U12" s="16">
        <f>SUBTOTAL(109,Έσοδα[Απρ %])</f>
        <v>0.99999999999999989</v>
      </c>
      <c r="V12" s="16">
        <f>SUBTOTAL(109,Έσοδα[Μαϊ %])</f>
        <v>0.99999999999999989</v>
      </c>
      <c r="W12" s="16">
        <f>SUBTOTAL(109,Έσοδα[Ιουν %])</f>
        <v>1</v>
      </c>
      <c r="X12" s="16">
        <f>SUBTOTAL(109,Έσοδα[Ιουλ %])</f>
        <v>1</v>
      </c>
      <c r="Y12" s="16">
        <f>SUBTOTAL(109,Έσοδα[Αυγ %])</f>
        <v>1</v>
      </c>
      <c r="Z12" s="16">
        <f>SUBTOTAL(109,Έσοδα[Σεπ %])</f>
        <v>1</v>
      </c>
      <c r="AA12" s="16">
        <f>SUBTOTAL(109,Έσοδα[Οκτ %])</f>
        <v>1</v>
      </c>
      <c r="AB12" s="16">
        <f>SUBTOTAL(109,Έσοδα[Νοε %])</f>
        <v>1</v>
      </c>
      <c r="AC12" s="16">
        <f>SUBTOTAL(109,Έσοδα[Δεκ %])</f>
        <v>0.99999999999999989</v>
      </c>
      <c r="AD12" s="31">
        <f>SUBTOTAL(109,Έσοδα[έτους %])</f>
        <v>1</v>
      </c>
    </row>
  </sheetData>
  <dataValidations count="18">
    <dataValidation type="list" errorStyle="warning" allowBlank="1" showInputMessage="1" showErrorMessage="1" error="Επιλέξτε μήνα από την αναπτυσσόμενη λίστα. Επιλέξτε ΑΚΥΡΟ και, στη συνέχεια, πατήστε ALT+ΚΑΤΩ ΒΕΛΟΣ. Πατήστε ENTER για να επιλέξετε έναν μήνα" prompt="Επιλέξτε μήνα σε αυτό το κελί. Πατήστε ALT+ΚΑΤΩ ΒΕΛΟΣ για να ανοίξετε την αναπτυσσόμενη λίστα και πατήστε ENTER για να επιλέξετε έναν μήνα" sqref="AC2">
      <formula1>"ΙΑΝ,ΦΕΒ,ΜΑΡ,ΑΠΡ,ΜΑΪ,ΙΟΥΝ,ΙΟΥΛ,ΑΥΓ,ΣΕΠ,ΟΚΤ,ΝΟΕ,ΔΕΚ"</formula1>
    </dataValidation>
    <dataValidation errorStyle="information" allowBlank="1" showInputMessage="1" errorTitle="Άγνωστο έτος" error="Επιλέξτε ένα έτος από την αναπτυσσόμενη λίστα. Για να προσθέσετε ή να καταργήσετε ένα έτος από τη λίστα, στην καρτέλα Δεδομένα, στην ομάδα Εργαλεία δεδομένων, κάντε κλικ στην επιλογή Επικύρωση δεδομένων." prompt="Εισαγάγετε το έτος σε αυτό το κελί" sqref="AD2"/>
    <dataValidation allowBlank="1" showInputMessage="1" showErrorMessage="1" prompt="Επιλέξτε το μήνα έναρξης του οικονομικού έτους στο κελί AC2 και εισαγάγετε ένα έτος στο κελί AD2 στα δεξιά αυτής της ετικέτας" sqref="AB2"/>
    <dataValidation allowBlank="1" showInputMessage="1" showErrorMessage="1" prompt="Σε αυτή τη στήλη υπολογίζονται αυτόματα τα συνολικά έσοδα" sqref="P3"/>
    <dataValidation allowBlank="1" showInputMessage="1" showErrorMessage="1" prompt="Εισαγάγετε έναν τίτλο για την περίοδο προβολής για την οποία υπολογίζονται οι συνολικές πωλήσεις" sqref="B1"/>
    <dataValidation allowBlank="1" showInputMessage="1" showErrorMessage="1" prompt="Ο τίτλος προβολής περιλαμβάνεται σε αυτό το κελί. Εισαγάγετε τιμές στον πίνακα Έσοδα παρακάτω για να υπολογίσετε τις συνολικές πωλήσεις" sqref="B2"/>
    <dataValidation allowBlank="1" showInputMessage="1" showErrorMessage="1" prompt="Εισαγάγετε την επωνυμία της εταιρείας σε αυτό το κελί" sqref="AD1"/>
    <dataValidation allowBlank="1" showInputMessage="1" showErrorMessage="1" prompt="Οι ημερομηνίες σε αυτή τη γραμμή ενημερώνονται αυτόματα με βάση το μήνα έναρξης του οικονομικού έτους. Για να αλλάξετε το μήνα έναρξης, τροποποιήστε το κελί AC2" sqref="D3"/>
    <dataValidation allowBlank="1" showInputMessage="1" showErrorMessage="1" prompt="Εισαγάγετε τον ποσοστιαίο δείκτη σε αυτή τη στήλη" sqref="Q4"/>
    <dataValidation allowBlank="1" showInputMessage="1" showErrorMessage="1" prompt="Αυτό το φύλλο εργασίας υπολογίζει τις συνολικές πωλήσεις για κάθε μήνα και έτος, καθώς και τις συνολικές ετήσιες πωλήσεις από διάφορες πηγές. Επιλέξτε το μήνα έναρξης του οικονομικού έτους στο κελί AC2 και το έτος στο κελί AD2" sqref="A2 A4:A12"/>
    <dataValidation allowBlank="1" showInputMessage="1" showErrorMessage="1" prompt="Αυτό το φύλλο εργασίας υπολογίζει τις συνολικές πωλήσεις για κάθε μήνα και έτος και τις συνολικές ετήσιες πωλήσεις από διάφορες πηγές. Εισαγάγετε το μήνα έναρξης του οικονομικού έτους στο κελί AC2 και το έτος στο κελί AD2" sqref="A1"/>
    <dataValidation allowBlank="1" showInputMessage="1" showErrorMessage="1" prompt="Αυτόματα ενημερωμένος μήνας" sqref="E3:O3"/>
    <dataValidation allowBlank="1" showInputMessage="1" showErrorMessage="1" prompt="Υπολογίζει αυτόματα το ποσοστό των πωλήσεων από διαφορετικές πηγές ως προς τις συνολικές πωλήσεις σε αυτή τη στήλη, για το μήνα σε αυτό το κελί" sqref="R3:AC3"/>
    <dataValidation allowBlank="1" showInputMessage="1" showErrorMessage="1" prompt="Υπολογίζει αυτόματα το ποσοστό των πωλήσεων από διαφορετικές πηγές ως προς τις συνολικές πωλήσεις του έτους σε αυτή τη στήλη" sqref="AD3"/>
    <dataValidation allowBlank="1" showInputMessage="1" showErrorMessage="1" prompt="Εισαγάγετε τα έσοδα από πωλήσεις σε αυτή τη στήλη" sqref="B4"/>
    <dataValidation allowBlank="1" showInputMessage="1" showErrorMessage="1" prompt="Σε αυτή τη στήλη υπάρχει ένα γράφημα τάσεων για τα έσοδα στη διάρκεια του χρόνου" sqref="C4"/>
    <dataValidation allowBlank="1" showInputMessage="1" showErrorMessage="1" prompt="Εισαγάγετε τα έσοδα για τις πηγές που παρατίθενται στη στήλη B, σε αυτή τη στήλη" sqref="D4:O4"/>
    <dataValidation allowBlank="1" showInputMessage="1" showErrorMessage="1" prompt="Σε αυτή τη στήλη βρίσκεται ο ποσοστιαίος δείκτης" sqref="Q3"/>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1"/>
          <x14:colorLow theme="3"/>
          <x14:sparklines>
            <x14:sparkline>
              <xm:f>'Έσοδα (Πωλήσεις)'!D12:O12</xm:f>
              <xm:sqref>C12</xm:sqref>
            </x14:sparkline>
          </x14:sparklines>
        </x14:sparklineGroup>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1"/>
          <x14:colorLow theme="3"/>
          <x14:sparklines>
            <x14:sparkline>
              <xm:f>'Έσοδα (Πωλήσεις)'!$D$5:$O$5</xm:f>
              <xm:sqref>C5</xm:sqref>
            </x14:sparkline>
            <x14:sparkline>
              <xm:f>'Έσοδα (Πωλήσεις)'!$D$6:$O$6</xm:f>
              <xm:sqref>C6</xm:sqref>
            </x14:sparkline>
            <x14:sparkline>
              <xm:f>'Έσοδα (Πωλήσεις)'!$D$7:$O$7</xm:f>
              <xm:sqref>C7</xm:sqref>
            </x14:sparkline>
            <x14:sparkline>
              <xm:f>'Έσοδα (Πωλήσεις)'!$D$8:$O$8</xm:f>
              <xm:sqref>C8</xm:sqref>
            </x14:sparkline>
            <x14:sparkline>
              <xm:f>'Έσοδα (Πωλήσεις)'!$D$9:$O$9</xm:f>
              <xm:sqref>C9</xm:sqref>
            </x14:sparkline>
            <x14:sparkline>
              <xm:f>'Έσοδα (Πωλήσεις)'!$D$10:$O$10</xm:f>
              <xm:sqref>C10</xm:sqref>
            </x14:sparkline>
            <x14:sparkline>
              <xm:f>'Έσοδα (Πωλήσεις)'!$D$11:$O$11</xm:f>
              <xm:sqref>C11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D14"/>
  <sheetViews>
    <sheetView showGridLines="0" zoomScaleNormal="100" workbookViewId="0">
      <pane ySplit="3" topLeftCell="A4" activePane="bottomLeft" state="frozen"/>
      <selection activeCell="E13" sqref="E13"/>
      <selection pane="bottomLeft"/>
    </sheetView>
  </sheetViews>
  <sheetFormatPr defaultRowHeight="30" customHeight="1" x14ac:dyDescent="0.2"/>
  <cols>
    <col min="1" max="1" width="2.625" style="2" customWidth="1"/>
    <col min="2" max="2" width="32.375" style="2" customWidth="1"/>
    <col min="3" max="3" width="12.625" style="2" customWidth="1"/>
    <col min="4" max="15" width="10" style="2" customWidth="1"/>
    <col min="16" max="16" width="11.75" style="2" customWidth="1"/>
    <col min="17" max="29" width="7.75" style="2" customWidth="1"/>
    <col min="30" max="30" width="9.875" style="2" customWidth="1"/>
    <col min="31" max="31" width="2.625" style="2" customWidth="1"/>
    <col min="32" max="16384" width="9" style="2"/>
  </cols>
  <sheetData>
    <row r="1" spans="1:30" ht="35.1" customHeight="1" x14ac:dyDescent="0.2">
      <c r="A1" s="1"/>
      <c r="B1" s="20" t="str">
        <f>Τίτλος_Περιόδου_Προβολής</f>
        <v>Δωδεκάμηνο</v>
      </c>
      <c r="J1" s="3"/>
      <c r="Q1" s="21"/>
      <c r="R1" s="21"/>
      <c r="S1" s="21"/>
      <c r="T1" s="21"/>
      <c r="U1" s="21"/>
      <c r="V1" s="21"/>
      <c r="W1" s="21"/>
      <c r="X1" s="21"/>
      <c r="Y1" s="21"/>
      <c r="Z1" s="21"/>
      <c r="AA1" s="21"/>
      <c r="AB1" s="21"/>
      <c r="AC1" s="21"/>
      <c r="AD1" s="22" t="str">
        <f>Επωνυμία_εταιρείας</f>
        <v>Επωνυμία εταιρείας</v>
      </c>
    </row>
    <row r="2" spans="1:30" ht="60" customHeight="1" x14ac:dyDescent="0.2">
      <c r="B2" s="4" t="str">
        <f>Τίτλος_ΦυλΕργ</f>
        <v>ΠΡΟΒΟΛΗ ΚΕΡΔΩΝ ΚΑΙ ΖΗΜΙΩΝ</v>
      </c>
      <c r="E2" s="5"/>
      <c r="G2" s="5"/>
      <c r="K2" s="5"/>
      <c r="L2" s="5"/>
      <c r="M2" s="5"/>
      <c r="N2" s="5"/>
      <c r="O2" s="5"/>
      <c r="X2" s="6"/>
      <c r="Y2" s="6"/>
      <c r="Z2" s="6"/>
      <c r="AA2" s="6"/>
      <c r="AB2" s="23" t="s">
        <v>34</v>
      </c>
      <c r="AC2" s="23" t="str">
        <f>ΜήναςΈναρξηςΟΕ</f>
        <v>ΙΑΝ</v>
      </c>
      <c r="AD2" s="23">
        <f ca="1">ΈτοςΈναρξηςΟΕ</f>
        <v>2017</v>
      </c>
    </row>
    <row r="3" spans="1:30" ht="20.100000000000001" customHeight="1" x14ac:dyDescent="0.2">
      <c r="D3" s="24" t="str">
        <f ca="1">UPPER(TEXT(DATE(ΈτοςΈναρξηςΟΕ,ΑρΜήναΟΕ,1),"μμμ-εε"))</f>
        <v>ΙΑΝ-17</v>
      </c>
      <c r="E3" s="24" t="str">
        <f ca="1">UPPER(TEXT(DATE(ΈτοςΈναρξηςΟΕ,ΑρΜήναΟΕ+1,1),"μμμ-εε"))</f>
        <v>ΦΕΒ-17</v>
      </c>
      <c r="F3" s="24" t="str">
        <f ca="1">UPPER(TEXT(DATE(ΈτοςΈναρξηςΟΕ,ΑρΜήναΟΕ+2,1),"μμμ-εε"))</f>
        <v>ΜΑΡ-17</v>
      </c>
      <c r="G3" s="24" t="str">
        <f ca="1">UPPER(TEXT(DATE(ΈτοςΈναρξηςΟΕ,ΑρΜήναΟΕ+3,1),"μμμ-εε"))</f>
        <v>ΑΠΡ-17</v>
      </c>
      <c r="H3" s="24" t="str">
        <f ca="1">UPPER(TEXT(DATE(ΈτοςΈναρξηςΟΕ,ΑρΜήναΟΕ+4,1),"μμμ-εε"))</f>
        <v>ΜΑΪ-17</v>
      </c>
      <c r="I3" s="24" t="str">
        <f ca="1">UPPER(TEXT(DATE(ΈτοςΈναρξηςΟΕ,ΑρΜήναΟΕ+5,1),"μμμ-εε"))</f>
        <v>ΙΟΥΝ-17</v>
      </c>
      <c r="J3" s="24" t="str">
        <f ca="1">UPPER(TEXT(DATE(ΈτοςΈναρξηςΟΕ,ΑρΜήναΟΕ+6,1),"μμμ-εε"))</f>
        <v>ΙΟΥΛ-17</v>
      </c>
      <c r="K3" s="24" t="str">
        <f ca="1">UPPER(TEXT(DATE(ΈτοςΈναρξηςΟΕ,ΑρΜήναΟΕ+7,1),"μμμ-εε"))</f>
        <v>ΑΥΓ-17</v>
      </c>
      <c r="L3" s="24" t="str">
        <f ca="1">UPPER(TEXT(DATE(ΈτοςΈναρξηςΟΕ,ΑρΜήναΟΕ+8,1),"μμμ-εε"))</f>
        <v>ΣΕΠ-17</v>
      </c>
      <c r="M3" s="24" t="str">
        <f ca="1">UPPER(TEXT(DATE(ΈτοςΈναρξηςΟΕ,ΑρΜήναΟΕ+9,1),"μμμ-εε"))</f>
        <v>ΟΚΤ-17</v>
      </c>
      <c r="N3" s="24" t="str">
        <f ca="1">UPPER(TEXT(DATE(ΈτοςΈναρξηςΟΕ,ΑρΜήναΟΕ+10,1),"μμμ-εε"))</f>
        <v>ΝΟΕ-17</v>
      </c>
      <c r="O3" s="24" t="str">
        <f ca="1">UPPER(TEXT(DATE(ΈτοςΈναρξηςΟΕ,ΑρΜήναΟΕ+11,1),"μμμ-εε"))</f>
        <v>ΔΕΚ-17</v>
      </c>
      <c r="P3" s="24" t="s">
        <v>19</v>
      </c>
      <c r="Q3" s="24" t="s">
        <v>62</v>
      </c>
      <c r="R3" s="24" t="str">
        <f ca="1">LEFT(D3,3)&amp;" %"</f>
        <v>ΙΑΝ %</v>
      </c>
      <c r="S3" s="24" t="str">
        <f t="shared" ref="S3:AC3" ca="1" si="0">LEFT(E3,3)&amp;" %"</f>
        <v>ΦΕΒ %</v>
      </c>
      <c r="T3" s="24" t="str">
        <f t="shared" ca="1" si="0"/>
        <v>ΜΑΡ %</v>
      </c>
      <c r="U3" s="24" t="str">
        <f t="shared" ca="1" si="0"/>
        <v>ΑΠΡ %</v>
      </c>
      <c r="V3" s="24" t="str">
        <f t="shared" ca="1" si="0"/>
        <v>ΜΑΪ %</v>
      </c>
      <c r="W3" s="24" t="str">
        <f ca="1">LEFT(I3,3)&amp;" %"</f>
        <v>ΙΟΥ %</v>
      </c>
      <c r="X3" s="24" t="str">
        <f ca="1">LEFT(J3,3)&amp;" %"</f>
        <v>ΙΟΥ %</v>
      </c>
      <c r="Y3" s="24" t="str">
        <f t="shared" ca="1" si="0"/>
        <v>ΑΥΓ %</v>
      </c>
      <c r="Z3" s="24" t="str">
        <f t="shared" ca="1" si="0"/>
        <v>ΣΕΠ %</v>
      </c>
      <c r="AA3" s="24" t="str">
        <f t="shared" ca="1" si="0"/>
        <v>ΟΚΤ %</v>
      </c>
      <c r="AB3" s="24" t="str">
        <f t="shared" ca="1" si="0"/>
        <v>ΝΟΕ %</v>
      </c>
      <c r="AC3" s="24" t="str">
        <f t="shared" ca="1" si="0"/>
        <v>ΔΕΚ %</v>
      </c>
      <c r="AD3" s="24" t="s">
        <v>63</v>
      </c>
    </row>
    <row r="4" spans="1:30" ht="30" customHeight="1" x14ac:dyDescent="0.2">
      <c r="B4" s="7" t="s">
        <v>24</v>
      </c>
      <c r="C4" s="7" t="s">
        <v>11</v>
      </c>
      <c r="D4" s="8" t="s">
        <v>12</v>
      </c>
      <c r="E4" s="8" t="s">
        <v>13</v>
      </c>
      <c r="F4" s="8" t="s">
        <v>14</v>
      </c>
      <c r="G4" s="8" t="s">
        <v>15</v>
      </c>
      <c r="H4" s="8" t="s">
        <v>57</v>
      </c>
      <c r="I4" s="8" t="s">
        <v>58</v>
      </c>
      <c r="J4" s="8" t="s">
        <v>59</v>
      </c>
      <c r="K4" s="8" t="s">
        <v>60</v>
      </c>
      <c r="L4" s="8" t="s">
        <v>16</v>
      </c>
      <c r="M4" s="8" t="s">
        <v>17</v>
      </c>
      <c r="N4" s="8" t="s">
        <v>61</v>
      </c>
      <c r="O4" s="8" t="s">
        <v>18</v>
      </c>
      <c r="P4" s="8" t="s">
        <v>20</v>
      </c>
      <c r="Q4" s="41" t="s">
        <v>64</v>
      </c>
      <c r="R4" s="41" t="s">
        <v>65</v>
      </c>
      <c r="S4" s="41" t="s">
        <v>66</v>
      </c>
      <c r="T4" s="41" t="s">
        <v>77</v>
      </c>
      <c r="U4" s="41" t="s">
        <v>67</v>
      </c>
      <c r="V4" s="41" t="s">
        <v>68</v>
      </c>
      <c r="W4" s="41" t="s">
        <v>69</v>
      </c>
      <c r="X4" s="41" t="s">
        <v>70</v>
      </c>
      <c r="Y4" s="41" t="s">
        <v>71</v>
      </c>
      <c r="Z4" s="41" t="s">
        <v>72</v>
      </c>
      <c r="AA4" s="41" t="s">
        <v>73</v>
      </c>
      <c r="AB4" s="41" t="s">
        <v>74</v>
      </c>
      <c r="AC4" s="41" t="s">
        <v>75</v>
      </c>
      <c r="AD4" s="42" t="s">
        <v>76</v>
      </c>
    </row>
    <row r="5" spans="1:30" ht="30" customHeight="1" x14ac:dyDescent="0.2">
      <c r="B5" s="9" t="s">
        <v>25</v>
      </c>
      <c r="C5" s="10"/>
      <c r="D5" s="11">
        <v>61</v>
      </c>
      <c r="E5" s="11">
        <v>78</v>
      </c>
      <c r="F5" s="11">
        <v>65</v>
      </c>
      <c r="G5" s="11">
        <v>29</v>
      </c>
      <c r="H5" s="11">
        <v>125</v>
      </c>
      <c r="I5" s="11">
        <v>49</v>
      </c>
      <c r="J5" s="11">
        <v>14</v>
      </c>
      <c r="K5" s="11">
        <v>26</v>
      </c>
      <c r="L5" s="11">
        <v>14</v>
      </c>
      <c r="M5" s="11">
        <v>129</v>
      </c>
      <c r="N5" s="11">
        <v>60</v>
      </c>
      <c r="O5" s="11">
        <v>65</v>
      </c>
      <c r="P5" s="49">
        <f>SUM(ΚόστοςΠωλήσεων[[#This Row],[Ιαν]:[Δεκ]])</f>
        <v>715</v>
      </c>
      <c r="Q5" s="12">
        <v>0.12</v>
      </c>
      <c r="R5" s="50">
        <f>IFERROR(ΚόστοςΠωλήσεων[[#This Row],[Ιαν]]/ΚόστοςΠωλήσεων[[#Totals],[Ιαν]],"-")</f>
        <v>0.23018867924528302</v>
      </c>
      <c r="S5" s="50">
        <f>IFERROR(ΚόστοςΠωλήσεων[[#This Row],[Φεβ]]/ΚόστοςΠωλήσεων[[#Totals],[Φεβ]],"-")</f>
        <v>0.21910112359550563</v>
      </c>
      <c r="T5" s="50">
        <f>IFERROR(ΚόστοςΠωλήσεων[[#This Row],[Μαρ]]/ΚόστοςΠωλήσεων[[#Totals],[Μαρ]],"-")</f>
        <v>0.20634920634920634</v>
      </c>
      <c r="U5" s="50">
        <f>IFERROR(ΚόστοςΠωλήσεων[[#This Row],[Απρ]]/ΚόστοςΠωλήσεων[[#Totals],[Απρ]],"-")</f>
        <v>0.12033195020746888</v>
      </c>
      <c r="V5" s="50">
        <f>IFERROR(ΚόστοςΠωλήσεων[[#This Row],[Μαϊ]]/ΚόστοςΠωλήσεων[[#Totals],[Μαϊ]],"-")</f>
        <v>0.31328320802005011</v>
      </c>
      <c r="W5" s="50">
        <f>IFERROR(ΚόστοςΠωλήσεων[[#This Row],[Ιουν]]/ΚόστοςΠωλήσεων[[#Totals],[Ιουν]],"-")</f>
        <v>0.15705128205128205</v>
      </c>
      <c r="X5" s="50">
        <f>IFERROR(ΚόστοςΠωλήσεων[[#This Row],[Ιουλ]]/ΚόστοςΠωλήσεων[[#Totals],[Ιουλ]],"-")</f>
        <v>4.6822742474916385E-2</v>
      </c>
      <c r="Y5" s="50">
        <f>IFERROR(ΚόστοςΠωλήσεων[[#This Row],[Αυγ]]/ΚόστοςΠωλήσεων[[#Totals],[Αυγ]],"-")</f>
        <v>0.11504424778761062</v>
      </c>
      <c r="Z5" s="50">
        <f>IFERROR(ΚόστοςΠωλήσεων[[#This Row],[Σεπ]]/ΚόστοςΠωλήσεων[[#Totals],[Σεπ]],"-")</f>
        <v>3.3816425120772944E-2</v>
      </c>
      <c r="AA5" s="50">
        <f>IFERROR(ΚόστοςΠωλήσεων[[#This Row],[Οκτ]]/ΚόστοςΠωλήσεων[[#Totals],[Οκτ]],"-")</f>
        <v>0.47080291970802918</v>
      </c>
      <c r="AB5" s="50">
        <f>IFERROR(ΚόστοςΠωλήσεων[[#This Row],[Νοε]]/ΚόστοςΠωλήσεων[[#Totals],[Νοε]],"-")</f>
        <v>0.22727272727272727</v>
      </c>
      <c r="AC5" s="50">
        <f>IFERROR(ΚόστοςΠωλήσεων[[#This Row],[Δεκ]]/ΚόστοςΠωλήσεων[[#Totals],[Δεκ]],"-")</f>
        <v>0.14348785871964681</v>
      </c>
      <c r="AD5" s="50">
        <f>IFERROR(ΚόστοςΠωλήσεων[[#This Row],[Ετήσια]]/ΚόστοςΠωλήσεων[[#Totals],[Ετήσια]],"-")</f>
        <v>0.18727082242011525</v>
      </c>
    </row>
    <row r="6" spans="1:30" ht="30" customHeight="1" x14ac:dyDescent="0.2">
      <c r="B6" s="9" t="s">
        <v>26</v>
      </c>
      <c r="C6" s="10"/>
      <c r="D6" s="11">
        <v>7</v>
      </c>
      <c r="E6" s="11">
        <v>5</v>
      </c>
      <c r="F6" s="11">
        <v>69</v>
      </c>
      <c r="G6" s="11">
        <v>32</v>
      </c>
      <c r="H6" s="11">
        <v>11</v>
      </c>
      <c r="I6" s="11">
        <v>30</v>
      </c>
      <c r="J6" s="11">
        <v>27</v>
      </c>
      <c r="K6" s="11">
        <v>32</v>
      </c>
      <c r="L6" s="11">
        <v>10</v>
      </c>
      <c r="M6" s="11">
        <v>41</v>
      </c>
      <c r="N6" s="11">
        <v>13</v>
      </c>
      <c r="O6" s="11">
        <v>105</v>
      </c>
      <c r="P6" s="49">
        <f>SUM(ΚόστοςΠωλήσεων[[#This Row],[Ιαν]:[Δεκ]])</f>
        <v>382</v>
      </c>
      <c r="Q6" s="12">
        <v>0.18</v>
      </c>
      <c r="R6" s="50">
        <f>IFERROR(ΚόστοςΠωλήσεων[[#This Row],[Ιαν]]/ΚόστοςΠωλήσεων[[#Totals],[Ιαν]],"-")</f>
        <v>2.6415094339622643E-2</v>
      </c>
      <c r="S6" s="50">
        <f>IFERROR(ΚόστοςΠωλήσεων[[#This Row],[Φεβ]]/ΚόστοςΠωλήσεων[[#Totals],[Φεβ]],"-")</f>
        <v>1.4044943820224719E-2</v>
      </c>
      <c r="T6" s="50">
        <f>IFERROR(ΚόστοςΠωλήσεων[[#This Row],[Μαρ]]/ΚόστοςΠωλήσεων[[#Totals],[Μαρ]],"-")</f>
        <v>0.21904761904761905</v>
      </c>
      <c r="U6" s="50">
        <f>IFERROR(ΚόστοςΠωλήσεων[[#This Row],[Απρ]]/ΚόστοςΠωλήσεων[[#Totals],[Απρ]],"-")</f>
        <v>0.13278008298755187</v>
      </c>
      <c r="V6" s="50">
        <f>IFERROR(ΚόστοςΠωλήσεων[[#This Row],[Μαϊ]]/ΚόστοςΠωλήσεων[[#Totals],[Μαϊ]],"-")</f>
        <v>2.7568922305764409E-2</v>
      </c>
      <c r="W6" s="50">
        <f>IFERROR(ΚόστοςΠωλήσεων[[#This Row],[Ιουν]]/ΚόστοςΠωλήσεων[[#Totals],[Ιουν]],"-")</f>
        <v>9.6153846153846159E-2</v>
      </c>
      <c r="X6" s="50">
        <f>IFERROR(ΚόστοςΠωλήσεων[[#This Row],[Ιουλ]]/ΚόστοςΠωλήσεων[[#Totals],[Ιουλ]],"-")</f>
        <v>9.0301003344481601E-2</v>
      </c>
      <c r="Y6" s="50">
        <f>IFERROR(ΚόστοςΠωλήσεων[[#This Row],[Αυγ]]/ΚόστοςΠωλήσεων[[#Totals],[Αυγ]],"-")</f>
        <v>0.1415929203539823</v>
      </c>
      <c r="Z6" s="50">
        <f>IFERROR(ΚόστοςΠωλήσεων[[#This Row],[Σεπ]]/ΚόστοςΠωλήσεων[[#Totals],[Σεπ]],"-")</f>
        <v>2.4154589371980676E-2</v>
      </c>
      <c r="AA6" s="50">
        <f>IFERROR(ΚόστοςΠωλήσεων[[#This Row],[Οκτ]]/ΚόστοςΠωλήσεων[[#Totals],[Οκτ]],"-")</f>
        <v>0.14963503649635038</v>
      </c>
      <c r="AB6" s="50">
        <f>IFERROR(ΚόστοςΠωλήσεων[[#This Row],[Νοε]]/ΚόστοςΠωλήσεων[[#Totals],[Νοε]],"-")</f>
        <v>4.924242424242424E-2</v>
      </c>
      <c r="AC6" s="50">
        <f>IFERROR(ΚόστοςΠωλήσεων[[#This Row],[Δεκ]]/ΚόστοςΠωλήσεων[[#Totals],[Δεκ]],"-")</f>
        <v>0.23178807947019867</v>
      </c>
      <c r="AD6" s="50">
        <f>IFERROR(ΚόστοςΠωλήσεων[[#This Row],[Ετήσια]]/ΚόστοςΠωλήσεων[[#Totals],[Ετήσια]],"-")</f>
        <v>0.1000523834468308</v>
      </c>
    </row>
    <row r="7" spans="1:30" ht="30" customHeight="1" x14ac:dyDescent="0.2">
      <c r="B7" s="9" t="s">
        <v>27</v>
      </c>
      <c r="C7" s="10"/>
      <c r="D7" s="11">
        <v>99</v>
      </c>
      <c r="E7" s="11">
        <v>95</v>
      </c>
      <c r="F7" s="11">
        <v>51</v>
      </c>
      <c r="G7" s="11">
        <v>90</v>
      </c>
      <c r="H7" s="11">
        <v>21</v>
      </c>
      <c r="I7" s="11">
        <v>34</v>
      </c>
      <c r="J7" s="11">
        <v>30</v>
      </c>
      <c r="K7" s="11">
        <v>24</v>
      </c>
      <c r="L7" s="11">
        <v>109</v>
      </c>
      <c r="M7" s="11">
        <v>16</v>
      </c>
      <c r="N7" s="11">
        <v>21</v>
      </c>
      <c r="O7" s="11">
        <v>52</v>
      </c>
      <c r="P7" s="49">
        <f>SUM(ΚόστοςΠωλήσεων[[#This Row],[Ιαν]:[Δεκ]])</f>
        <v>642</v>
      </c>
      <c r="Q7" s="12">
        <v>0.19</v>
      </c>
      <c r="R7" s="50">
        <f>IFERROR(ΚόστοςΠωλήσεων[[#This Row],[Ιαν]]/ΚόστοςΠωλήσεων[[#Totals],[Ιαν]],"-")</f>
        <v>0.37358490566037733</v>
      </c>
      <c r="S7" s="50">
        <f>IFERROR(ΚόστοςΠωλήσεων[[#This Row],[Φεβ]]/ΚόστοςΠωλήσεων[[#Totals],[Φεβ]],"-")</f>
        <v>0.26685393258426965</v>
      </c>
      <c r="T7" s="50">
        <f>IFERROR(ΚόστοςΠωλήσεων[[#This Row],[Μαρ]]/ΚόστοςΠωλήσεων[[#Totals],[Μαρ]],"-")</f>
        <v>0.16190476190476191</v>
      </c>
      <c r="U7" s="50">
        <f>IFERROR(ΚόστοςΠωλήσεων[[#This Row],[Απρ]]/ΚόστοςΠωλήσεων[[#Totals],[Απρ]],"-")</f>
        <v>0.37344398340248963</v>
      </c>
      <c r="V7" s="50">
        <f>IFERROR(ΚόστοςΠωλήσεων[[#This Row],[Μαϊ]]/ΚόστοςΠωλήσεων[[#Totals],[Μαϊ]],"-")</f>
        <v>5.2631578947368418E-2</v>
      </c>
      <c r="W7" s="50">
        <f>IFERROR(ΚόστοςΠωλήσεων[[#This Row],[Ιουν]]/ΚόστοςΠωλήσεων[[#Totals],[Ιουν]],"-")</f>
        <v>0.10897435897435898</v>
      </c>
      <c r="X7" s="50">
        <f>IFERROR(ΚόστοςΠωλήσεων[[#This Row],[Ιουλ]]/ΚόστοςΠωλήσεων[[#Totals],[Ιουλ]],"-")</f>
        <v>0.10033444816053512</v>
      </c>
      <c r="Y7" s="50">
        <f>IFERROR(ΚόστοςΠωλήσεων[[#This Row],[Αυγ]]/ΚόστοςΠωλήσεων[[#Totals],[Αυγ]],"-")</f>
        <v>0.10619469026548672</v>
      </c>
      <c r="Z7" s="50">
        <f>IFERROR(ΚόστοςΠωλήσεων[[#This Row],[Σεπ]]/ΚόστοςΠωλήσεων[[#Totals],[Σεπ]],"-")</f>
        <v>0.26328502415458938</v>
      </c>
      <c r="AA7" s="50">
        <f>IFERROR(ΚόστοςΠωλήσεων[[#This Row],[Οκτ]]/ΚόστοςΠωλήσεων[[#Totals],[Οκτ]],"-")</f>
        <v>5.8394160583941604E-2</v>
      </c>
      <c r="AB7" s="50">
        <f>IFERROR(ΚόστοςΠωλήσεων[[#This Row],[Νοε]]/ΚόστοςΠωλήσεων[[#Totals],[Νοε]],"-")</f>
        <v>7.9545454545454544E-2</v>
      </c>
      <c r="AC7" s="50">
        <f>IFERROR(ΚόστοςΠωλήσεων[[#This Row],[Δεκ]]/ΚόστοςΠωλήσεων[[#Totals],[Δεκ]],"-")</f>
        <v>0.11479028697571744</v>
      </c>
      <c r="AD7" s="50">
        <f>IFERROR(ΚόστοςΠωλήσεων[[#This Row],[Ετήσια]]/ΚόστοςΠωλήσεων[[#Totals],[Ετήσια]],"-")</f>
        <v>0.16815086432687271</v>
      </c>
    </row>
    <row r="8" spans="1:30" ht="30" customHeight="1" x14ac:dyDescent="0.2">
      <c r="B8" s="9" t="s">
        <v>28</v>
      </c>
      <c r="C8" s="10"/>
      <c r="D8" s="11">
        <v>13</v>
      </c>
      <c r="E8" s="11">
        <v>28</v>
      </c>
      <c r="F8" s="11">
        <v>15</v>
      </c>
      <c r="G8" s="11">
        <v>8</v>
      </c>
      <c r="H8" s="11">
        <v>84</v>
      </c>
      <c r="I8" s="11">
        <v>12</v>
      </c>
      <c r="J8" s="11">
        <v>54</v>
      </c>
      <c r="K8" s="11">
        <v>72</v>
      </c>
      <c r="L8" s="11">
        <v>49</v>
      </c>
      <c r="M8" s="11">
        <v>24</v>
      </c>
      <c r="N8" s="11">
        <v>60</v>
      </c>
      <c r="O8" s="11">
        <v>39</v>
      </c>
      <c r="P8" s="49">
        <f>SUM(ΚόστοςΠωλήσεων[[#This Row],[Ιαν]:[Δεκ]])</f>
        <v>458</v>
      </c>
      <c r="Q8" s="12">
        <v>0.11</v>
      </c>
      <c r="R8" s="50">
        <f>IFERROR(ΚόστοςΠωλήσεων[[#This Row],[Ιαν]]/ΚόστοςΠωλήσεων[[#Totals],[Ιαν]],"-")</f>
        <v>4.9056603773584909E-2</v>
      </c>
      <c r="S8" s="50">
        <f>IFERROR(ΚόστοςΠωλήσεων[[#This Row],[Φεβ]]/ΚόστοςΠωλήσεων[[#Totals],[Φεβ]],"-")</f>
        <v>7.8651685393258425E-2</v>
      </c>
      <c r="T8" s="50">
        <f>IFERROR(ΚόστοςΠωλήσεων[[#This Row],[Μαρ]]/ΚόστοςΠωλήσεων[[#Totals],[Μαρ]],"-")</f>
        <v>4.7619047619047616E-2</v>
      </c>
      <c r="U8" s="50">
        <f>IFERROR(ΚόστοςΠωλήσεων[[#This Row],[Απρ]]/ΚόστοςΠωλήσεων[[#Totals],[Απρ]],"-")</f>
        <v>3.3195020746887967E-2</v>
      </c>
      <c r="V8" s="50">
        <f>IFERROR(ΚόστοςΠωλήσεων[[#This Row],[Μαϊ]]/ΚόστοςΠωλήσεων[[#Totals],[Μαϊ]],"-")</f>
        <v>0.21052631578947367</v>
      </c>
      <c r="W8" s="50">
        <f>IFERROR(ΚόστοςΠωλήσεων[[#This Row],[Ιουν]]/ΚόστοςΠωλήσεων[[#Totals],[Ιουν]],"-")</f>
        <v>3.8461538461538464E-2</v>
      </c>
      <c r="X8" s="50">
        <f>IFERROR(ΚόστοςΠωλήσεων[[#This Row],[Ιουλ]]/ΚόστοςΠωλήσεων[[#Totals],[Ιουλ]],"-")</f>
        <v>0.1806020066889632</v>
      </c>
      <c r="Y8" s="50">
        <f>IFERROR(ΚόστοςΠωλήσεων[[#This Row],[Αυγ]]/ΚόστοςΠωλήσεων[[#Totals],[Αυγ]],"-")</f>
        <v>0.31858407079646017</v>
      </c>
      <c r="Z8" s="50">
        <f>IFERROR(ΚόστοςΠωλήσεων[[#This Row],[Σεπ]]/ΚόστοςΠωλήσεων[[#Totals],[Σεπ]],"-")</f>
        <v>0.11835748792270531</v>
      </c>
      <c r="AA8" s="50">
        <f>IFERROR(ΚόστοςΠωλήσεων[[#This Row],[Οκτ]]/ΚόστοςΠωλήσεων[[#Totals],[Οκτ]],"-")</f>
        <v>8.7591240875912413E-2</v>
      </c>
      <c r="AB8" s="50">
        <f>IFERROR(ΚόστοςΠωλήσεων[[#This Row],[Νοε]]/ΚόστοςΠωλήσεων[[#Totals],[Νοε]],"-")</f>
        <v>0.22727272727272727</v>
      </c>
      <c r="AC8" s="50">
        <f>IFERROR(ΚόστοςΠωλήσεων[[#This Row],[Δεκ]]/ΚόστοςΠωλήσεων[[#Totals],[Δεκ]],"-")</f>
        <v>8.6092715231788075E-2</v>
      </c>
      <c r="AD8" s="50">
        <f>IFERROR(ΚόστοςΠωλήσεων[[#This Row],[Ετήσια]]/ΚόστοςΠωλήσεων[[#Totals],[Ετήσια]],"-")</f>
        <v>0.11995809324253535</v>
      </c>
    </row>
    <row r="9" spans="1:30" ht="30" customHeight="1" x14ac:dyDescent="0.2">
      <c r="B9" s="9" t="s">
        <v>29</v>
      </c>
      <c r="C9" s="10"/>
      <c r="D9" s="11">
        <v>34</v>
      </c>
      <c r="E9" s="11">
        <v>78</v>
      </c>
      <c r="F9" s="11">
        <v>43</v>
      </c>
      <c r="G9" s="11">
        <v>30</v>
      </c>
      <c r="H9" s="11">
        <v>77</v>
      </c>
      <c r="I9" s="11">
        <v>54</v>
      </c>
      <c r="J9" s="11">
        <v>26</v>
      </c>
      <c r="K9" s="11">
        <v>13</v>
      </c>
      <c r="L9" s="11">
        <v>56</v>
      </c>
      <c r="M9" s="11">
        <v>30</v>
      </c>
      <c r="N9" s="11">
        <v>40</v>
      </c>
      <c r="O9" s="11">
        <v>63</v>
      </c>
      <c r="P9" s="49">
        <f>SUM(ΚόστοςΠωλήσεων[[#This Row],[Ιαν]:[Δεκ]])</f>
        <v>544</v>
      </c>
      <c r="Q9" s="12">
        <v>0.2</v>
      </c>
      <c r="R9" s="50">
        <f>IFERROR(ΚόστοςΠωλήσεων[[#This Row],[Ιαν]]/ΚόστοςΠωλήσεων[[#Totals],[Ιαν]],"-")</f>
        <v>0.12830188679245283</v>
      </c>
      <c r="S9" s="50">
        <f>IFERROR(ΚόστοςΠωλήσεων[[#This Row],[Φεβ]]/ΚόστοςΠωλήσεων[[#Totals],[Φεβ]],"-")</f>
        <v>0.21910112359550563</v>
      </c>
      <c r="T9" s="50">
        <f>IFERROR(ΚόστοςΠωλήσεων[[#This Row],[Μαρ]]/ΚόστοςΠωλήσεων[[#Totals],[Μαρ]],"-")</f>
        <v>0.13650793650793649</v>
      </c>
      <c r="U9" s="50">
        <f>IFERROR(ΚόστοςΠωλήσεων[[#This Row],[Απρ]]/ΚόστοςΠωλήσεων[[#Totals],[Απρ]],"-")</f>
        <v>0.12448132780082988</v>
      </c>
      <c r="V9" s="50">
        <f>IFERROR(ΚόστοςΠωλήσεων[[#This Row],[Μαϊ]]/ΚόστοςΠωλήσεων[[#Totals],[Μαϊ]],"-")</f>
        <v>0.19298245614035087</v>
      </c>
      <c r="W9" s="50">
        <f>IFERROR(ΚόστοςΠωλήσεων[[#This Row],[Ιουν]]/ΚόστοςΠωλήσεων[[#Totals],[Ιουν]],"-")</f>
        <v>0.17307692307692307</v>
      </c>
      <c r="X9" s="50">
        <f>IFERROR(ΚόστοςΠωλήσεων[[#This Row],[Ιουλ]]/ΚόστοςΠωλήσεων[[#Totals],[Ιουλ]],"-")</f>
        <v>8.6956521739130432E-2</v>
      </c>
      <c r="Y9" s="50">
        <f>IFERROR(ΚόστοςΠωλήσεων[[#This Row],[Αυγ]]/ΚόστοςΠωλήσεων[[#Totals],[Αυγ]],"-")</f>
        <v>5.7522123893805309E-2</v>
      </c>
      <c r="Z9" s="50">
        <f>IFERROR(ΚόστοςΠωλήσεων[[#This Row],[Σεπ]]/ΚόστοςΠωλήσεων[[#Totals],[Σεπ]],"-")</f>
        <v>0.13526570048309178</v>
      </c>
      <c r="AA9" s="50">
        <f>IFERROR(ΚόστοςΠωλήσεων[[#This Row],[Οκτ]]/ΚόστοςΠωλήσεων[[#Totals],[Οκτ]],"-")</f>
        <v>0.10948905109489052</v>
      </c>
      <c r="AB9" s="50">
        <f>IFERROR(ΚόστοςΠωλήσεων[[#This Row],[Νοε]]/ΚόστοςΠωλήσεων[[#Totals],[Νοε]],"-")</f>
        <v>0.15151515151515152</v>
      </c>
      <c r="AC9" s="50">
        <f>IFERROR(ΚόστοςΠωλήσεων[[#This Row],[Δεκ]]/ΚόστοςΠωλήσεων[[#Totals],[Δεκ]],"-")</f>
        <v>0.13907284768211919</v>
      </c>
      <c r="AD9" s="50">
        <f>IFERROR(ΚόστοςΠωλήσεων[[#This Row],[Ετήσια]]/ΚόστοςΠωλήσεων[[#Totals],[Ετήσια]],"-")</f>
        <v>0.14248297537978</v>
      </c>
    </row>
    <row r="10" spans="1:30" ht="30" customHeight="1" x14ac:dyDescent="0.2">
      <c r="B10" s="9" t="s">
        <v>30</v>
      </c>
      <c r="C10" s="10"/>
      <c r="D10" s="11">
        <v>33</v>
      </c>
      <c r="E10" s="11">
        <v>61</v>
      </c>
      <c r="F10" s="11">
        <v>42</v>
      </c>
      <c r="G10" s="11">
        <v>43</v>
      </c>
      <c r="H10" s="11">
        <v>19</v>
      </c>
      <c r="I10" s="11">
        <v>94</v>
      </c>
      <c r="J10" s="11">
        <v>46</v>
      </c>
      <c r="K10" s="11">
        <v>15</v>
      </c>
      <c r="L10" s="11">
        <v>55</v>
      </c>
      <c r="M10" s="11">
        <v>15</v>
      </c>
      <c r="N10" s="11">
        <v>37</v>
      </c>
      <c r="O10" s="11">
        <v>89</v>
      </c>
      <c r="P10" s="49">
        <f>SUM(ΚόστοςΠωλήσεων[[#This Row],[Ιαν]:[Δεκ]])</f>
        <v>549</v>
      </c>
      <c r="Q10" s="12">
        <v>0.1</v>
      </c>
      <c r="R10" s="50">
        <f>IFERROR(ΚόστοςΠωλήσεων[[#This Row],[Ιαν]]/ΚόστοςΠωλήσεων[[#Totals],[Ιαν]],"-")</f>
        <v>0.12452830188679245</v>
      </c>
      <c r="S10" s="50">
        <f>IFERROR(ΚόστοςΠωλήσεων[[#This Row],[Φεβ]]/ΚόστοςΠωλήσεων[[#Totals],[Φεβ]],"-")</f>
        <v>0.17134831460674158</v>
      </c>
      <c r="T10" s="50">
        <f>IFERROR(ΚόστοςΠωλήσεων[[#This Row],[Μαρ]]/ΚόστοςΠωλήσεων[[#Totals],[Μαρ]],"-")</f>
        <v>0.13333333333333333</v>
      </c>
      <c r="U10" s="50">
        <f>IFERROR(ΚόστοςΠωλήσεων[[#This Row],[Απρ]]/ΚόστοςΠωλήσεων[[#Totals],[Απρ]],"-")</f>
        <v>0.17842323651452283</v>
      </c>
      <c r="V10" s="50">
        <f>IFERROR(ΚόστοςΠωλήσεων[[#This Row],[Μαϊ]]/ΚόστοςΠωλήσεων[[#Totals],[Μαϊ]],"-")</f>
        <v>4.7619047619047616E-2</v>
      </c>
      <c r="W10" s="50">
        <f>IFERROR(ΚόστοςΠωλήσεων[[#This Row],[Ιουν]]/ΚόστοςΠωλήσεων[[#Totals],[Ιουν]],"-")</f>
        <v>0.30128205128205127</v>
      </c>
      <c r="X10" s="50">
        <f>IFERROR(ΚόστοςΠωλήσεων[[#This Row],[Ιουλ]]/ΚόστοςΠωλήσεων[[#Totals],[Ιουλ]],"-")</f>
        <v>0.15384615384615385</v>
      </c>
      <c r="Y10" s="50">
        <f>IFERROR(ΚόστοςΠωλήσεων[[#This Row],[Αυγ]]/ΚόστοςΠωλήσεων[[#Totals],[Αυγ]],"-")</f>
        <v>6.637168141592921E-2</v>
      </c>
      <c r="Z10" s="50">
        <f>IFERROR(ΚόστοςΠωλήσεων[[#This Row],[Σεπ]]/ΚόστοςΠωλήσεων[[#Totals],[Σεπ]],"-")</f>
        <v>0.13285024154589373</v>
      </c>
      <c r="AA10" s="50">
        <f>IFERROR(ΚόστοςΠωλήσεων[[#This Row],[Οκτ]]/ΚόστοςΠωλήσεων[[#Totals],[Οκτ]],"-")</f>
        <v>5.4744525547445258E-2</v>
      </c>
      <c r="AB10" s="50">
        <f>IFERROR(ΚόστοςΠωλήσεων[[#This Row],[Νοε]]/ΚόστοςΠωλήσεων[[#Totals],[Νοε]],"-")</f>
        <v>0.14015151515151514</v>
      </c>
      <c r="AC10" s="50">
        <f>IFERROR(ΚόστοςΠωλήσεων[[#This Row],[Δεκ]]/ΚόστοςΠωλήσεων[[#Totals],[Δεκ]],"-")</f>
        <v>0.19646799116997793</v>
      </c>
      <c r="AD10" s="50">
        <f>IFERROR(ΚόστοςΠωλήσεων[[#This Row],[Ετήσια]]/ΚόστοςΠωλήσεων[[#Totals],[Ετήσια]],"-")</f>
        <v>0.14379256155055004</v>
      </c>
    </row>
    <row r="11" spans="1:30" ht="30" customHeight="1" x14ac:dyDescent="0.2">
      <c r="A11" s="13"/>
      <c r="B11" s="9" t="s">
        <v>31</v>
      </c>
      <c r="C11" s="10"/>
      <c r="D11" s="11">
        <v>18</v>
      </c>
      <c r="E11" s="11">
        <v>11</v>
      </c>
      <c r="F11" s="11">
        <v>30</v>
      </c>
      <c r="G11" s="11">
        <v>9</v>
      </c>
      <c r="H11" s="11">
        <v>62</v>
      </c>
      <c r="I11" s="11">
        <v>39</v>
      </c>
      <c r="J11" s="11">
        <v>102</v>
      </c>
      <c r="K11" s="11">
        <v>44</v>
      </c>
      <c r="L11" s="11">
        <v>121</v>
      </c>
      <c r="M11" s="11">
        <v>19</v>
      </c>
      <c r="N11" s="11">
        <v>33</v>
      </c>
      <c r="O11" s="11">
        <v>40</v>
      </c>
      <c r="P11" s="49">
        <f>SUM(ΚόστοςΠωλήσεων[[#This Row],[Ιαν]:[Δεκ]])</f>
        <v>528</v>
      </c>
      <c r="Q11" s="12">
        <v>0.1</v>
      </c>
      <c r="R11" s="50">
        <f>IFERROR(ΚόστοςΠωλήσεων[[#This Row],[Ιαν]]/ΚόστοςΠωλήσεων[[#Totals],[Ιαν]],"-")</f>
        <v>6.7924528301886791E-2</v>
      </c>
      <c r="S11" s="50">
        <f>IFERROR(ΚόστοςΠωλήσεων[[#This Row],[Φεβ]]/ΚόστοςΠωλήσεων[[#Totals],[Φεβ]],"-")</f>
        <v>3.0898876404494381E-2</v>
      </c>
      <c r="T11" s="50">
        <f>IFERROR(ΚόστοςΠωλήσεων[[#This Row],[Μαρ]]/ΚόστοςΠωλήσεων[[#Totals],[Μαρ]],"-")</f>
        <v>9.5238095238095233E-2</v>
      </c>
      <c r="U11" s="50">
        <f>IFERROR(ΚόστοςΠωλήσεων[[#This Row],[Απρ]]/ΚόστοςΠωλήσεων[[#Totals],[Απρ]],"-")</f>
        <v>3.7344398340248962E-2</v>
      </c>
      <c r="V11" s="50">
        <f>IFERROR(ΚόστοςΠωλήσεων[[#This Row],[Μαϊ]]/ΚόστοςΠωλήσεων[[#Totals],[Μαϊ]],"-")</f>
        <v>0.15538847117794485</v>
      </c>
      <c r="W11" s="50">
        <f>IFERROR(ΚόστοςΠωλήσεων[[#This Row],[Ιουν]]/ΚόστοςΠωλήσεων[[#Totals],[Ιουν]],"-")</f>
        <v>0.125</v>
      </c>
      <c r="X11" s="50">
        <f>IFERROR(ΚόστοςΠωλήσεων[[#This Row],[Ιουλ]]/ΚόστοςΠωλήσεων[[#Totals],[Ιουλ]],"-")</f>
        <v>0.34113712374581939</v>
      </c>
      <c r="Y11" s="50">
        <f>IFERROR(ΚόστοςΠωλήσεων[[#This Row],[Αυγ]]/ΚόστοςΠωλήσεων[[#Totals],[Αυγ]],"-")</f>
        <v>0.19469026548672566</v>
      </c>
      <c r="Z11" s="50">
        <f>IFERROR(ΚόστοςΠωλήσεων[[#This Row],[Σεπ]]/ΚόστοςΠωλήσεων[[#Totals],[Σεπ]],"-")</f>
        <v>0.2922705314009662</v>
      </c>
      <c r="AA11" s="50">
        <f>IFERROR(ΚόστοςΠωλήσεων[[#This Row],[Οκτ]]/ΚόστοςΠωλήσεων[[#Totals],[Οκτ]],"-")</f>
        <v>6.9343065693430656E-2</v>
      </c>
      <c r="AB11" s="50">
        <f>IFERROR(ΚόστοςΠωλήσεων[[#This Row],[Νοε]]/ΚόστοςΠωλήσεων[[#Totals],[Νοε]],"-")</f>
        <v>0.125</v>
      </c>
      <c r="AC11" s="50">
        <f>IFERROR(ΚόστοςΠωλήσεων[[#This Row],[Δεκ]]/ΚόστοςΠωλήσεων[[#Totals],[Δεκ]],"-")</f>
        <v>8.8300220750551883E-2</v>
      </c>
      <c r="AD11" s="50">
        <f>IFERROR(ΚόστοςΠωλήσεων[[#This Row],[Ετήσια]]/ΚόστοςΠωλήσεων[[#Totals],[Ετήσια]],"-")</f>
        <v>0.13829229963331588</v>
      </c>
    </row>
    <row r="12" spans="1:30" ht="30" customHeight="1" x14ac:dyDescent="0.2">
      <c r="B12" s="43" t="s">
        <v>32</v>
      </c>
      <c r="C12" s="44"/>
      <c r="D12" s="45">
        <f>SUBTOTAL(109,ΚόστοςΠωλήσεων[Ιαν])</f>
        <v>265</v>
      </c>
      <c r="E12" s="45">
        <f>SUBTOTAL(109,ΚόστοςΠωλήσεων[Φεβ])</f>
        <v>356</v>
      </c>
      <c r="F12" s="45">
        <f>SUBTOTAL(109,ΚόστοςΠωλήσεων[Μαρ])</f>
        <v>315</v>
      </c>
      <c r="G12" s="45">
        <f>SUBTOTAL(109,ΚόστοςΠωλήσεων[Απρ])</f>
        <v>241</v>
      </c>
      <c r="H12" s="45">
        <f>SUBTOTAL(109,ΚόστοςΠωλήσεων[Μαϊ])</f>
        <v>399</v>
      </c>
      <c r="I12" s="45">
        <f>SUBTOTAL(109,ΚόστοςΠωλήσεων[Ιουν])</f>
        <v>312</v>
      </c>
      <c r="J12" s="45">
        <f>SUBTOTAL(109,ΚόστοςΠωλήσεων[Ιουλ])</f>
        <v>299</v>
      </c>
      <c r="K12" s="45">
        <f>SUBTOTAL(109,ΚόστοςΠωλήσεων[Αυγ])</f>
        <v>226</v>
      </c>
      <c r="L12" s="45">
        <f>SUBTOTAL(109,ΚόστοςΠωλήσεων[Σεπ])</f>
        <v>414</v>
      </c>
      <c r="M12" s="45">
        <f>SUBTOTAL(109,ΚόστοςΠωλήσεων[Οκτ])</f>
        <v>274</v>
      </c>
      <c r="N12" s="45">
        <f>SUBTOTAL(109,ΚόστοςΠωλήσεων[Νοε])</f>
        <v>264</v>
      </c>
      <c r="O12" s="45">
        <f>SUBTOTAL(109,ΚόστοςΠωλήσεων[Δεκ])</f>
        <v>453</v>
      </c>
      <c r="P12" s="45">
        <f>SUBTOTAL(109,ΚόστοςΠωλήσεων[Ετήσια])</f>
        <v>3818</v>
      </c>
      <c r="Q12" s="46">
        <f>SUBTOTAL(109,ΚόστοςΠωλήσεων[δείκτης %])</f>
        <v>1</v>
      </c>
      <c r="R12" s="47">
        <f>SUBTOTAL(109,ΚόστοςΠωλήσεων[Ιαν %])</f>
        <v>0.99999999999999989</v>
      </c>
      <c r="S12" s="47">
        <f>SUBTOTAL(109,ΚόστοςΠωλήσεων[Φεβ %])</f>
        <v>1</v>
      </c>
      <c r="T12" s="47">
        <f>SUBTOTAL(109,ΚόστοςΠωλήσεων[Μαρ %])</f>
        <v>0.99999999999999989</v>
      </c>
      <c r="U12" s="47">
        <f>SUBTOTAL(109,ΚόστοςΠωλήσεων[Απρ %])</f>
        <v>1</v>
      </c>
      <c r="V12" s="47">
        <f>SUBTOTAL(109,ΚόστοςΠωλήσεων[Μαϊ %])</f>
        <v>0.99999999999999989</v>
      </c>
      <c r="W12" s="47">
        <f>SUBTOTAL(109,ΚόστοςΠωλήσεων[Ιουν %])</f>
        <v>1</v>
      </c>
      <c r="X12" s="47">
        <f>SUBTOTAL(109,ΚόστοςΠωλήσεων[Ιουλ %])</f>
        <v>1</v>
      </c>
      <c r="Y12" s="47">
        <f>SUBTOTAL(109,ΚόστοςΠωλήσεων[Αυγ %])</f>
        <v>0.99999999999999989</v>
      </c>
      <c r="Z12" s="47">
        <f>SUBTOTAL(109,ΚόστοςΠωλήσεων[Σεπ %])</f>
        <v>1</v>
      </c>
      <c r="AA12" s="47">
        <f>SUBTOTAL(109,ΚόστοςΠωλήσεων[Οκτ %])</f>
        <v>1</v>
      </c>
      <c r="AB12" s="47">
        <f>SUBTOTAL(109,ΚόστοςΠωλήσεων[Νοε %])</f>
        <v>0.99999999999999989</v>
      </c>
      <c r="AC12" s="47">
        <f>SUBTOTAL(109,ΚόστοςΠωλήσεων[Δεκ %])</f>
        <v>1</v>
      </c>
      <c r="AD12" s="47">
        <f>SUBTOTAL(109,ΚόστοςΠωλήσεων[έτους %])</f>
        <v>0.99999999999999989</v>
      </c>
    </row>
    <row r="13" spans="1:30" ht="30"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30" customHeight="1" x14ac:dyDescent="0.2">
      <c r="B14" s="17" t="s">
        <v>33</v>
      </c>
      <c r="C14" s="17"/>
      <c r="D14" s="34">
        <f>Έσοδα[[#Totals],[Ιαν]]-ΚόστοςΠωλήσεων[[#Totals],[Ιαν]]</f>
        <v>359</v>
      </c>
      <c r="E14" s="34">
        <f>Έσοδα[[#Totals],[Φεβ]]-ΚόστοςΠωλήσεων[[#Totals],[Φεβ]]</f>
        <v>380</v>
      </c>
      <c r="F14" s="34">
        <f>Έσοδα[[#Totals],[Μαρ]]-ΚόστοςΠωλήσεων[[#Totals],[Μαρ]]</f>
        <v>505</v>
      </c>
      <c r="G14" s="34">
        <f>Έσοδα[[#Totals],[Απρ]]-ΚόστοςΠωλήσεων[[#Totals],[Απρ]]</f>
        <v>370</v>
      </c>
      <c r="H14" s="34">
        <f>Έσοδα[[#Totals],[Μαϊ]]-ΚόστοςΠωλήσεων[[#Totals],[Μαϊ]]</f>
        <v>413</v>
      </c>
      <c r="I14" s="34">
        <f>Έσοδα[[#Totals],[Ιουν]]-ΚόστοςΠωλήσεων[[#Totals],[Ιουν]]</f>
        <v>266</v>
      </c>
      <c r="J14" s="34">
        <f>Έσοδα[[#Totals],[Ιουλ]]-ΚόστοςΠωλήσεων[[#Totals],[Ιουλ]]</f>
        <v>298</v>
      </c>
      <c r="K14" s="34">
        <f>Έσοδα[[#Totals],[Αυγ]]-ΚόστοςΠωλήσεων[[#Totals],[Αυγ]]</f>
        <v>449</v>
      </c>
      <c r="L14" s="34">
        <f>Έσοδα[[#Totals],[Σεπ]]-ΚόστοςΠωλήσεων[[#Totals],[Σεπ]]</f>
        <v>330</v>
      </c>
      <c r="M14" s="34">
        <f>Έσοδα[[#Totals],[Οκτ]]-ΚόστοςΠωλήσεων[[#Totals],[Οκτ]]</f>
        <v>407</v>
      </c>
      <c r="N14" s="34">
        <f>Έσοδα[[#Totals],[Νοε]]-ΚόστοςΠωλήσεων[[#Totals],[Νοε]]</f>
        <v>475</v>
      </c>
      <c r="O14" s="34">
        <f>Έσοδα[[#Totals],[Δεκ]]-ΚόστοςΠωλήσεων[[#Totals],[Δεκ]]</f>
        <v>590</v>
      </c>
      <c r="P14" s="34">
        <f>Έσοδα[[#Totals],[Ετήσια]]-ΚόστοςΠωλήσεων[[#Totals],[Ετήσια]]</f>
        <v>4842</v>
      </c>
      <c r="Q14" s="17"/>
      <c r="R14" s="19">
        <f t="shared" ref="R14:AD14" si="1">D14/$P$14</f>
        <v>7.4142916150351096E-2</v>
      </c>
      <c r="S14" s="19">
        <f t="shared" si="1"/>
        <v>7.8479966955803393E-2</v>
      </c>
      <c r="T14" s="19">
        <f t="shared" si="1"/>
        <v>0.10429574555968608</v>
      </c>
      <c r="U14" s="19">
        <f t="shared" si="1"/>
        <v>7.6414704667492769E-2</v>
      </c>
      <c r="V14" s="19">
        <f t="shared" si="1"/>
        <v>8.5295332507228414E-2</v>
      </c>
      <c r="W14" s="19">
        <f t="shared" si="1"/>
        <v>5.4935976869062368E-2</v>
      </c>
      <c r="X14" s="19">
        <f t="shared" si="1"/>
        <v>6.1544816191656339E-2</v>
      </c>
      <c r="Y14" s="19">
        <f t="shared" si="1"/>
        <v>9.2730276745146639E-2</v>
      </c>
      <c r="Z14" s="19">
        <f t="shared" si="1"/>
        <v>6.8153655514250316E-2</v>
      </c>
      <c r="AA14" s="19">
        <f t="shared" si="1"/>
        <v>8.4056175134242045E-2</v>
      </c>
      <c r="AB14" s="19">
        <f t="shared" si="1"/>
        <v>9.8099958694754227E-2</v>
      </c>
      <c r="AC14" s="19">
        <f t="shared" si="1"/>
        <v>0.12185047501032631</v>
      </c>
      <c r="AD14" s="19">
        <f t="shared" si="1"/>
        <v>1</v>
      </c>
    </row>
  </sheetData>
  <dataValidations count="18">
    <dataValidation allowBlank="1" showInputMessage="1" showErrorMessage="1" prompt="Το μικτό κέρδος για κάθε μήνα και έτος υπολογίζεται αυτόματα σε αυτή τη γραμμή με βάση τις συνολικές πωλήσεις και το συνολικό κόστος πωλήσεων" sqref="B14"/>
    <dataValidation allowBlank="1" showInputMessage="1" showErrorMessage="1" prompt="Αυτό το φύλλο εργασίας υπολογίζει το συνολικό κόστος των πωλήσεων για κάθε μήνα και έτος, καθώς και το ετήσιο κόστος πωλήσεων για τα είδη. Με βάση τις καταχωρήσεις, το μικτό κέρδος υπολογίζεται αυτόματα" sqref="A1"/>
    <dataValidation allowBlank="1" showInputMessage="1" showErrorMessage="1" prompt="Αυτό το κελί ενημερώνεται αυτόματα από τον τίτλο περιόδου προβολής στο φύλλο εργασίας Έσοδα (Πωλήσεις)" sqref="B1"/>
    <dataValidation allowBlank="1" showInputMessage="1" showErrorMessage="1" prompt="Η επωνυμία της εταιρείας ενημερώνεται αυτόματα από την καταχώρηση στο φύλλο εργασίας Έσοδα (Πωλήσεις)" sqref="AD1"/>
    <dataValidation allowBlank="1" showInputMessage="1" showErrorMessage="1" prompt="Ο τίτλος ενημερώνεται αυτόματα από το φύλλο εργασίας Έσοδα (Πωλήσεις). Εισαγάγετε τιμές στον πίνακα Κόστος πωλήσεων παρακάτω για να υπολογίσετε το συνολικό κόστος πωλήσεων" sqref="B2"/>
    <dataValidation allowBlank="1" showInputMessage="1" showErrorMessage="1" prompt="Ο μήνας και το έτος ενημερώνονται αυτόματα στα κελιά στα δεξιά. Για να αλλάξετε το μήνα ή το έτος, τροποποιήστε τα κελιά AC2 και AD2 στο φύλλο εργασίας Έσοδα (Πωλήσεις)" sqref="AB2"/>
    <dataValidation allowBlank="1" showInputMessage="1" showErrorMessage="1" prompt="Εισαγάγετε τον ποσοστιαίο δείκτη σε αυτή τη στήλη" sqref="Q4"/>
    <dataValidation allowBlank="1" showInputMessage="1" showErrorMessage="1" prompt="Σε αυτή τη στήλη υπάρχει ένα γράφημα τάσεων για το κόστος στη διάρκεια του χρόνου" sqref="C4"/>
    <dataValidation allowBlank="1" showInputMessage="1" showErrorMessage="1" prompt="Εισαγάγετε το κόστος πωλήσεων σε αυτή τη στήλη" sqref="B4"/>
    <dataValidation allowBlank="1" showInputMessage="1" showErrorMessage="1" prompt="Υπολογίζει αυτόματα το ποσοστό του κόστους πωλήσεων από διαφορετικές πηγές ως προς τις συνολικές πωλήσεις σε αυτή τη στήλη" sqref="AD3"/>
    <dataValidation allowBlank="1" showInputMessage="1" showErrorMessage="1" prompt="Υπολογίζει αυτόματα το ποσοστό του κόστους πωλήσεων από διαφορετικές πηγές ως προς τις συνολικές πωλήσεις σε αυτή τη στήλη, για το μήνα σε αυτό το κελί" sqref="R3:AC3"/>
    <dataValidation allowBlank="1" showInputMessage="1" showErrorMessage="1" prompt="Αυτόματα ενημερωμένος μήνας" sqref="E3:O3"/>
    <dataValidation allowBlank="1" showInputMessage="1" showErrorMessage="1" prompt="Οι ημερομηνίες σε αυτή τη γραμμή ενημερώνονται αυτόματα με βάση το μήνα έναρξης του οικονομικού έτους. Για να αλλάξετε τον μήνα έναρξης, τροποποιήστε το κελί AC2 στο φύλλο Έσοδα (Πωλήσεις)" sqref="D3"/>
    <dataValidation allowBlank="1" showInputMessage="1" showErrorMessage="1" prompt="Σε αυτή τη στήλη υπολογίζεται αυτόματα το ετήσιο κόστος" sqref="P3"/>
    <dataValidation allowBlank="1" showInputMessage="1" showErrorMessage="1" prompt="Σε αυτή τη στήλη βρίσκεται ο ποσοστιαίος δείκτης" sqref="Q3"/>
    <dataValidation allowBlank="1" showInputMessage="1" showErrorMessage="1" prompt="Αυτόματα ενημερωμένος μήνας. Για να αλλάξετε, τροποποιήστε το κελί AC2 στο φύλλο Έσοδα (Πωλήσεις)" sqref="AC2"/>
    <dataValidation allowBlank="1" showInputMessage="1" showErrorMessage="1" prompt="Αυτόματα ενημερωμένο έτος. Για να αλλάξετε, τροποποιήστε το κελί AD2 στο φύλλο Έσοδα (Πωλήσεις)" sqref="AD2"/>
    <dataValidation allowBlank="1" showInputMessage="1" showErrorMessage="1" prompt="Εισαγάγετε τα έσοδα για τις πηγές που παρατίθενται στη στήλη B, σε αυτή τη στήλη" sqref="D4:O4"/>
  </dataValidations>
  <printOptions horizontalCentered="1"/>
  <pageMargins left="0.25" right="0.25" top="0.75" bottom="0.75" header="0.3" footer="0.3"/>
  <pageSetup paperSize="9" scale="46"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'Κόστος πωλήσεων'!D5:O5</xm:f>
              <xm:sqref>C5</xm:sqref>
            </x14:sparkline>
            <x14:sparkline>
              <xm:f>'Κόστος πωλήσεων'!D6:O6</xm:f>
              <xm:sqref>C6</xm:sqref>
            </x14:sparkline>
            <x14:sparkline>
              <xm:f>'Κόστος πωλήσεων'!D7:O7</xm:f>
              <xm:sqref>C7</xm:sqref>
            </x14:sparkline>
            <x14:sparkline>
              <xm:f>'Κόστος πωλήσεων'!D8:O8</xm:f>
              <xm:sqref>C8</xm:sqref>
            </x14:sparkline>
            <x14:sparkline>
              <xm:f>'Κόστος πωλήσεων'!D9:O9</xm:f>
              <xm:sqref>C9</xm:sqref>
            </x14:sparkline>
            <x14:sparkline>
              <xm:f>'Κόστος πωλήσεων'!D10:O10</xm:f>
              <xm:sqref>C10</xm:sqref>
            </x14:sparkline>
            <x14:sparkline>
              <xm:f>'Κόστος πωλήσεων'!D11:O11</xm:f>
              <xm:sqref>C11</xm:sqref>
            </x14:sparkline>
          </x14:sparklines>
        </x14:sparklineGroup>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'Κόστος πωλήσεων'!D12:O12</xm:f>
              <xm:sqref>C12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D26"/>
  <sheetViews>
    <sheetView showGridLines="0" workbookViewId="0">
      <pane ySplit="3" topLeftCell="A4" activePane="bottomLeft" state="frozen"/>
      <selection activeCell="E13" sqref="E13"/>
      <selection pane="bottomLeft"/>
    </sheetView>
  </sheetViews>
  <sheetFormatPr defaultRowHeight="30" customHeight="1" x14ac:dyDescent="0.2"/>
  <cols>
    <col min="1" max="1" width="2.625" style="2" customWidth="1"/>
    <col min="2" max="2" width="32.375" style="2" customWidth="1"/>
    <col min="3" max="3" width="12.625" style="2" customWidth="1"/>
    <col min="4" max="15" width="10" style="2" customWidth="1"/>
    <col min="16" max="16" width="11.75" style="2" customWidth="1"/>
    <col min="17" max="29" width="7.75" style="2" customWidth="1"/>
    <col min="30" max="30" width="9.875" style="2" customWidth="1"/>
    <col min="31" max="31" width="2.625" style="2" customWidth="1"/>
    <col min="32" max="16384" width="9" style="2"/>
  </cols>
  <sheetData>
    <row r="1" spans="1:30" ht="35.1" customHeight="1" x14ac:dyDescent="0.2">
      <c r="A1" s="1"/>
      <c r="B1" s="20" t="str">
        <f>Τίτλος_Περιόδου_Προβολής</f>
        <v>Δωδεκάμηνο</v>
      </c>
      <c r="J1" s="3"/>
      <c r="Q1" s="21"/>
      <c r="R1" s="21"/>
      <c r="S1" s="21"/>
      <c r="T1" s="21"/>
      <c r="U1" s="21"/>
      <c r="V1" s="21"/>
      <c r="W1" s="21"/>
      <c r="X1" s="21"/>
      <c r="Y1" s="21"/>
      <c r="Z1" s="21"/>
      <c r="AA1" s="21"/>
      <c r="AB1" s="21"/>
      <c r="AC1" s="21"/>
      <c r="AD1" s="22" t="str">
        <f>Επωνυμία_εταιρείας</f>
        <v>Επωνυμία εταιρείας</v>
      </c>
    </row>
    <row r="2" spans="1:30" ht="60" customHeight="1" x14ac:dyDescent="0.2">
      <c r="B2" s="25" t="str">
        <f>'Έσοδα (Πωλήσεις)'!$B$2</f>
        <v>ΠΡΟΒΟΛΗ ΚΕΡΔΩΝ ΚΑΙ ΖΗΜΙΩΝ</v>
      </c>
      <c r="E2" s="5"/>
      <c r="G2" s="5"/>
      <c r="K2" s="5"/>
      <c r="L2" s="5"/>
      <c r="M2" s="5"/>
      <c r="N2" s="5"/>
      <c r="O2" s="5"/>
      <c r="X2" s="6"/>
      <c r="Y2" s="6"/>
      <c r="Z2" s="6"/>
      <c r="AA2" s="6"/>
      <c r="AB2" s="23" t="s">
        <v>34</v>
      </c>
      <c r="AC2" s="23" t="str">
        <f>ΜήναςΈναρξηςΟΕ</f>
        <v>ΙΑΝ</v>
      </c>
      <c r="AD2" s="23">
        <f ca="1">ΈτοςΈναρξηςΟΕ</f>
        <v>2017</v>
      </c>
    </row>
    <row r="3" spans="1:30" ht="20.100000000000001" customHeight="1" x14ac:dyDescent="0.2">
      <c r="D3" s="24" t="str">
        <f ca="1">UPPER(TEXT(DATE(ΈτοςΈναρξηςΟΕ,ΑρΜήναΟΕ,1),"μμμ-εε"))</f>
        <v>ΙΑΝ-17</v>
      </c>
      <c r="E3" s="24" t="str">
        <f ca="1">UPPER(TEXT(DATE(ΈτοςΈναρξηςΟΕ,ΑρΜήναΟΕ+1,1),"μμμ-εε"))</f>
        <v>ΦΕΒ-17</v>
      </c>
      <c r="F3" s="24" t="str">
        <f ca="1">UPPER(TEXT(DATE(ΈτοςΈναρξηςΟΕ,ΑρΜήναΟΕ+2,1),"μμμ-εε"))</f>
        <v>ΜΑΡ-17</v>
      </c>
      <c r="G3" s="24" t="str">
        <f ca="1">UPPER(TEXT(DATE(ΈτοςΈναρξηςΟΕ,ΑρΜήναΟΕ+3,1),"μμμ-εε"))</f>
        <v>ΑΠΡ-17</v>
      </c>
      <c r="H3" s="24" t="str">
        <f ca="1">UPPER(TEXT(DATE(ΈτοςΈναρξηςΟΕ,ΑρΜήναΟΕ+4,1),"μμμ-εε"))</f>
        <v>ΜΑΪ-17</v>
      </c>
      <c r="I3" s="24" t="str">
        <f ca="1">UPPER(TEXT(DATE(ΈτοςΈναρξηςΟΕ,ΑρΜήναΟΕ+5,1),"μμμ-εε"))</f>
        <v>ΙΟΥΝ-17</v>
      </c>
      <c r="J3" s="24" t="str">
        <f ca="1">UPPER(TEXT(DATE(ΈτοςΈναρξηςΟΕ,ΑρΜήναΟΕ+6,1),"μμμ-εε"))</f>
        <v>ΙΟΥΛ-17</v>
      </c>
      <c r="K3" s="24" t="str">
        <f ca="1">UPPER(TEXT(DATE(ΈτοςΈναρξηςΟΕ,ΑρΜήναΟΕ+7,1),"μμμ-εε"))</f>
        <v>ΑΥΓ-17</v>
      </c>
      <c r="L3" s="24" t="str">
        <f ca="1">UPPER(TEXT(DATE(ΈτοςΈναρξηςΟΕ,ΑρΜήναΟΕ+8,1),"μμμ-εε"))</f>
        <v>ΣΕΠ-17</v>
      </c>
      <c r="M3" s="24" t="str">
        <f ca="1">UPPER(TEXT(DATE(ΈτοςΈναρξηςΟΕ,ΑρΜήναΟΕ+9,1),"μμμ-εε"))</f>
        <v>ΟΚΤ-17</v>
      </c>
      <c r="N3" s="24" t="str">
        <f ca="1">UPPER(TEXT(DATE(ΈτοςΈναρξηςΟΕ,ΑρΜήναΟΕ+10,1),"μμμ-εε"))</f>
        <v>ΝΟΕ-17</v>
      </c>
      <c r="O3" s="24" t="str">
        <f ca="1">UPPER(TEXT(DATE(ΈτοςΈναρξηςΟΕ,ΑρΜήναΟΕ+11,1),"μμμ-εε"))</f>
        <v>ΔΕΚ-17</v>
      </c>
      <c r="P3" s="24" t="s">
        <v>19</v>
      </c>
      <c r="Q3" s="24" t="s">
        <v>62</v>
      </c>
      <c r="R3" s="24" t="str">
        <f ca="1">LEFT(D3,3)&amp;" %"</f>
        <v>ΙΑΝ %</v>
      </c>
      <c r="S3" s="24" t="str">
        <f t="shared" ref="S3:AC3" ca="1" si="0">LEFT(E3,3)&amp;" %"</f>
        <v>ΦΕΒ %</v>
      </c>
      <c r="T3" s="24" t="str">
        <f t="shared" ca="1" si="0"/>
        <v>ΜΑΡ %</v>
      </c>
      <c r="U3" s="24" t="str">
        <f t="shared" ca="1" si="0"/>
        <v>ΑΠΡ %</v>
      </c>
      <c r="V3" s="24" t="str">
        <f t="shared" ca="1" si="0"/>
        <v>ΜΑΪ %</v>
      </c>
      <c r="W3" s="24" t="str">
        <f ca="1">LEFT(I3,3)&amp;" %"</f>
        <v>ΙΟΥ %</v>
      </c>
      <c r="X3" s="24" t="str">
        <f ca="1">LEFT(J3,3)&amp;" %"</f>
        <v>ΙΟΥ %</v>
      </c>
      <c r="Y3" s="24" t="str">
        <f t="shared" ca="1" si="0"/>
        <v>ΑΥΓ %</v>
      </c>
      <c r="Z3" s="24" t="str">
        <f t="shared" ca="1" si="0"/>
        <v>ΣΕΠ %</v>
      </c>
      <c r="AA3" s="24" t="str">
        <f t="shared" ca="1" si="0"/>
        <v>ΟΚΤ %</v>
      </c>
      <c r="AB3" s="24" t="str">
        <f t="shared" ca="1" si="0"/>
        <v>ΝΟΕ %</v>
      </c>
      <c r="AC3" s="24" t="str">
        <f t="shared" ca="1" si="0"/>
        <v>ΔΕΚ %</v>
      </c>
      <c r="AD3" s="24" t="s">
        <v>63</v>
      </c>
    </row>
    <row r="4" spans="1:30" ht="30" customHeight="1" x14ac:dyDescent="0.2">
      <c r="B4" s="7" t="s">
        <v>35</v>
      </c>
      <c r="C4" s="7" t="s">
        <v>11</v>
      </c>
      <c r="D4" s="8" t="s">
        <v>56</v>
      </c>
      <c r="E4" s="8" t="s">
        <v>13</v>
      </c>
      <c r="F4" s="8" t="s">
        <v>14</v>
      </c>
      <c r="G4" s="8" t="s">
        <v>15</v>
      </c>
      <c r="H4" s="8" t="s">
        <v>57</v>
      </c>
      <c r="I4" s="8" t="s">
        <v>58</v>
      </c>
      <c r="J4" s="8" t="s">
        <v>59</v>
      </c>
      <c r="K4" s="8" t="s">
        <v>60</v>
      </c>
      <c r="L4" s="8" t="s">
        <v>16</v>
      </c>
      <c r="M4" s="8" t="s">
        <v>17</v>
      </c>
      <c r="N4" s="8" t="s">
        <v>61</v>
      </c>
      <c r="O4" s="8" t="s">
        <v>18</v>
      </c>
      <c r="P4" s="8" t="s">
        <v>20</v>
      </c>
      <c r="Q4" s="41" t="s">
        <v>64</v>
      </c>
      <c r="R4" s="41" t="s">
        <v>65</v>
      </c>
      <c r="S4" s="41" t="s">
        <v>66</v>
      </c>
      <c r="T4" s="41" t="s">
        <v>77</v>
      </c>
      <c r="U4" s="41" t="s">
        <v>67</v>
      </c>
      <c r="V4" s="41" t="s">
        <v>68</v>
      </c>
      <c r="W4" s="41" t="s">
        <v>69</v>
      </c>
      <c r="X4" s="41" t="s">
        <v>70</v>
      </c>
      <c r="Y4" s="41" t="s">
        <v>71</v>
      </c>
      <c r="Z4" s="41" t="s">
        <v>72</v>
      </c>
      <c r="AA4" s="41" t="s">
        <v>73</v>
      </c>
      <c r="AB4" s="41" t="s">
        <v>74</v>
      </c>
      <c r="AC4" s="41" t="s">
        <v>75</v>
      </c>
      <c r="AD4" s="42" t="s">
        <v>76</v>
      </c>
    </row>
    <row r="5" spans="1:30" ht="30" customHeight="1" x14ac:dyDescent="0.2">
      <c r="B5" s="26" t="s">
        <v>36</v>
      </c>
      <c r="C5" s="35" t="s">
        <v>55</v>
      </c>
      <c r="D5" s="11">
        <v>10</v>
      </c>
      <c r="E5" s="11">
        <v>18</v>
      </c>
      <c r="F5" s="11">
        <v>13</v>
      </c>
      <c r="G5" s="11">
        <v>8</v>
      </c>
      <c r="H5" s="11">
        <v>22</v>
      </c>
      <c r="I5" s="11">
        <v>18</v>
      </c>
      <c r="J5" s="11">
        <v>8</v>
      </c>
      <c r="K5" s="11">
        <v>17</v>
      </c>
      <c r="L5" s="11">
        <v>20</v>
      </c>
      <c r="M5" s="11">
        <v>8</v>
      </c>
      <c r="N5" s="11">
        <v>4</v>
      </c>
      <c r="O5" s="11">
        <v>12</v>
      </c>
      <c r="P5" s="36">
        <f>SUM(πνκΈξοδα[[#This Row],[Στήλη1]:[Δεκ]])</f>
        <v>158</v>
      </c>
      <c r="Q5" s="12">
        <v>0.12</v>
      </c>
      <c r="R5" s="37">
        <f>πνκΈξοδα[[#This Row],[Στήλη1]]/πνκΈξοδα[[#Totals],[Στήλη1]]</f>
        <v>4.2372881355932202E-2</v>
      </c>
      <c r="S5" s="37">
        <f>πνκΈξοδα[[#This Row],[Φεβ]]/πνκΈξοδα[[#Totals],[Φεβ]]</f>
        <v>8.7804878048780483E-2</v>
      </c>
      <c r="T5" s="37">
        <f>πνκΈξοδα[[#This Row],[Μαρ]]/πνκΈξοδα[[#Totals],[Μαρ]]</f>
        <v>5.2208835341365459E-2</v>
      </c>
      <c r="U5" s="37">
        <f>πνκΈξοδα[[#This Row],[Απρ]]/πνκΈξοδα[[#Totals],[Απρ]]</f>
        <v>3.0651340996168581E-2</v>
      </c>
      <c r="V5" s="37">
        <f>πνκΈξοδα[[#This Row],[Μαϊ]]/πνκΈξοδα[[#Totals],[Μαϊ]]</f>
        <v>8.5603112840466927E-2</v>
      </c>
      <c r="W5" s="37">
        <f>πνκΈξοδα[[#This Row],[Ιουν]]/πνκΈξοδα[[#Totals],[Ιουν]]</f>
        <v>6.569343065693431E-2</v>
      </c>
      <c r="X5" s="37">
        <f>πνκΈξοδα[[#This Row],[Ιουλ]]/πνκΈξοδα[[#Totals],[Ιουλ]]</f>
        <v>3.007518796992481E-2</v>
      </c>
      <c r="Y5" s="37">
        <f>πνκΈξοδα[[#This Row],[Αυγ]]/πνκΈξοδα[[#Totals],[Αυγ]]</f>
        <v>7.2340425531914887E-2</v>
      </c>
      <c r="Z5" s="37">
        <f>πνκΈξοδα[[#This Row],[Σεπ]]/πνκΈξοδα[[#Totals],[Σεπ]]</f>
        <v>8.6956521739130432E-2</v>
      </c>
      <c r="AA5" s="37">
        <f>πνκΈξοδα[[#This Row],[Οκτ]]/πνκΈξοδα[[#Totals],[Οκτ]]</f>
        <v>3.0888030888030889E-2</v>
      </c>
      <c r="AB5" s="37">
        <f>πνκΈξοδα[[#This Row],[Νοε]]/πνκΈξοδα[[#Totals],[Νοε]]</f>
        <v>1.3513513513513514E-2</v>
      </c>
      <c r="AC5" s="37">
        <f>πνκΈξοδα[[#This Row],[Δεκ]]/πνκΈξοδα[[#Totals],[Δεκ]]</f>
        <v>5.1948051948051951E-2</v>
      </c>
      <c r="AD5" s="37">
        <f>πνκΈξοδα[[#This Row],[Ετήσια]]/πνκΈξοδα[[#Totals],[Ετήσια]]</f>
        <v>5.2684228076025338E-2</v>
      </c>
    </row>
    <row r="6" spans="1:30" ht="30" customHeight="1" x14ac:dyDescent="0.2">
      <c r="B6" s="26" t="s">
        <v>37</v>
      </c>
      <c r="C6" s="35" t="s">
        <v>55</v>
      </c>
      <c r="D6" s="11">
        <v>23</v>
      </c>
      <c r="E6" s="11">
        <v>11</v>
      </c>
      <c r="F6" s="11">
        <v>7</v>
      </c>
      <c r="G6" s="11">
        <v>14</v>
      </c>
      <c r="H6" s="11">
        <v>12</v>
      </c>
      <c r="I6" s="11">
        <v>19</v>
      </c>
      <c r="J6" s="11">
        <v>19</v>
      </c>
      <c r="K6" s="11">
        <v>4</v>
      </c>
      <c r="L6" s="11">
        <v>7</v>
      </c>
      <c r="M6" s="11">
        <v>13</v>
      </c>
      <c r="N6" s="11">
        <v>25</v>
      </c>
      <c r="O6" s="11">
        <v>5</v>
      </c>
      <c r="P6" s="36">
        <f>SUM(πνκΈξοδα[[#This Row],[Στήλη1]:[Δεκ]])</f>
        <v>159</v>
      </c>
      <c r="Q6" s="12">
        <v>0.09</v>
      </c>
      <c r="R6" s="37">
        <f>πνκΈξοδα[[#This Row],[Στήλη1]]/πνκΈξοδα[[#Totals],[Στήλη1]]</f>
        <v>9.7457627118644072E-2</v>
      </c>
      <c r="S6" s="37">
        <f>πνκΈξοδα[[#This Row],[Φεβ]]/πνκΈξοδα[[#Totals],[Φεβ]]</f>
        <v>5.3658536585365853E-2</v>
      </c>
      <c r="T6" s="37">
        <f>πνκΈξοδα[[#This Row],[Μαρ]]/πνκΈξοδα[[#Totals],[Μαρ]]</f>
        <v>2.8112449799196786E-2</v>
      </c>
      <c r="U6" s="37">
        <f>πνκΈξοδα[[#This Row],[Απρ]]/πνκΈξοδα[[#Totals],[Απρ]]</f>
        <v>5.3639846743295021E-2</v>
      </c>
      <c r="V6" s="37">
        <f>πνκΈξοδα[[#This Row],[Μαϊ]]/πνκΈξοδα[[#Totals],[Μαϊ]]</f>
        <v>4.6692607003891051E-2</v>
      </c>
      <c r="W6" s="37">
        <f>πνκΈξοδα[[#This Row],[Ιουν]]/πνκΈξοδα[[#Totals],[Ιουν]]</f>
        <v>6.9343065693430656E-2</v>
      </c>
      <c r="X6" s="37">
        <f>πνκΈξοδα[[#This Row],[Ιουλ]]/πνκΈξοδα[[#Totals],[Ιουλ]]</f>
        <v>7.1428571428571425E-2</v>
      </c>
      <c r="Y6" s="37">
        <f>πνκΈξοδα[[#This Row],[Αυγ]]/πνκΈξοδα[[#Totals],[Αυγ]]</f>
        <v>1.7021276595744681E-2</v>
      </c>
      <c r="Z6" s="37">
        <f>πνκΈξοδα[[#This Row],[Σεπ]]/πνκΈξοδα[[#Totals],[Σεπ]]</f>
        <v>3.0434782608695653E-2</v>
      </c>
      <c r="AA6" s="37">
        <f>πνκΈξοδα[[#This Row],[Οκτ]]/πνκΈξοδα[[#Totals],[Οκτ]]</f>
        <v>5.019305019305019E-2</v>
      </c>
      <c r="AB6" s="37">
        <f>πνκΈξοδα[[#This Row],[Νοε]]/πνκΈξοδα[[#Totals],[Νοε]]</f>
        <v>8.4459459459459457E-2</v>
      </c>
      <c r="AC6" s="37">
        <f>πνκΈξοδα[[#This Row],[Δεκ]]/πνκΈξοδα[[#Totals],[Δεκ]]</f>
        <v>2.1645021645021644E-2</v>
      </c>
      <c r="AD6" s="37">
        <f>πνκΈξοδα[[#This Row],[Ετήσια]]/πνκΈξοδα[[#Totals],[Ετήσια]]</f>
        <v>5.3017672557519172E-2</v>
      </c>
    </row>
    <row r="7" spans="1:30" ht="30" customHeight="1" x14ac:dyDescent="0.2">
      <c r="B7" s="26" t="s">
        <v>38</v>
      </c>
      <c r="C7" s="35" t="s">
        <v>55</v>
      </c>
      <c r="D7" s="11">
        <v>23</v>
      </c>
      <c r="E7" s="11">
        <v>20</v>
      </c>
      <c r="F7" s="11">
        <v>3</v>
      </c>
      <c r="G7" s="11">
        <v>16</v>
      </c>
      <c r="H7" s="11">
        <v>10</v>
      </c>
      <c r="I7" s="11">
        <v>5</v>
      </c>
      <c r="J7" s="11">
        <v>20</v>
      </c>
      <c r="K7" s="11">
        <v>7</v>
      </c>
      <c r="L7" s="11">
        <v>4</v>
      </c>
      <c r="M7" s="11">
        <v>22</v>
      </c>
      <c r="N7" s="11">
        <v>13</v>
      </c>
      <c r="O7" s="11">
        <v>14</v>
      </c>
      <c r="P7" s="36">
        <f>SUM(πνκΈξοδα[[#This Row],[Στήλη1]:[Δεκ]])</f>
        <v>157</v>
      </c>
      <c r="Q7" s="12">
        <v>0.02</v>
      </c>
      <c r="R7" s="37">
        <f>πνκΈξοδα[[#This Row],[Στήλη1]]/πνκΈξοδα[[#Totals],[Στήλη1]]</f>
        <v>9.7457627118644072E-2</v>
      </c>
      <c r="S7" s="37">
        <f>πνκΈξοδα[[#This Row],[Φεβ]]/πνκΈξοδα[[#Totals],[Φεβ]]</f>
        <v>9.7560975609756101E-2</v>
      </c>
      <c r="T7" s="37">
        <f>πνκΈξοδα[[#This Row],[Μαρ]]/πνκΈξοδα[[#Totals],[Μαρ]]</f>
        <v>1.2048192771084338E-2</v>
      </c>
      <c r="U7" s="37">
        <f>πνκΈξοδα[[#This Row],[Απρ]]/πνκΈξοδα[[#Totals],[Απρ]]</f>
        <v>6.1302681992337162E-2</v>
      </c>
      <c r="V7" s="37">
        <f>πνκΈξοδα[[#This Row],[Μαϊ]]/πνκΈξοδα[[#Totals],[Μαϊ]]</f>
        <v>3.8910505836575876E-2</v>
      </c>
      <c r="W7" s="37">
        <f>πνκΈξοδα[[#This Row],[Ιουν]]/πνκΈξοδα[[#Totals],[Ιουν]]</f>
        <v>1.824817518248175E-2</v>
      </c>
      <c r="X7" s="37">
        <f>πνκΈξοδα[[#This Row],[Ιουλ]]/πνκΈξοδα[[#Totals],[Ιουλ]]</f>
        <v>7.5187969924812026E-2</v>
      </c>
      <c r="Y7" s="37">
        <f>πνκΈξοδα[[#This Row],[Αυγ]]/πνκΈξοδα[[#Totals],[Αυγ]]</f>
        <v>2.9787234042553193E-2</v>
      </c>
      <c r="Z7" s="37">
        <f>πνκΈξοδα[[#This Row],[Σεπ]]/πνκΈξοδα[[#Totals],[Σεπ]]</f>
        <v>1.7391304347826087E-2</v>
      </c>
      <c r="AA7" s="37">
        <f>πνκΈξοδα[[#This Row],[Οκτ]]/πνκΈξοδα[[#Totals],[Οκτ]]</f>
        <v>8.4942084942084939E-2</v>
      </c>
      <c r="AB7" s="37">
        <f>πνκΈξοδα[[#This Row],[Νοε]]/πνκΈξοδα[[#Totals],[Νοε]]</f>
        <v>4.3918918918918921E-2</v>
      </c>
      <c r="AC7" s="37">
        <f>πνκΈξοδα[[#This Row],[Δεκ]]/πνκΈξοδα[[#Totals],[Δεκ]]</f>
        <v>6.0606060606060608E-2</v>
      </c>
      <c r="AD7" s="37">
        <f>πνκΈξοδα[[#This Row],[Ετήσια]]/πνκΈξοδα[[#Totals],[Ετήσια]]</f>
        <v>5.2350783594531512E-2</v>
      </c>
    </row>
    <row r="8" spans="1:30" ht="30" customHeight="1" x14ac:dyDescent="0.2">
      <c r="B8" s="26" t="s">
        <v>39</v>
      </c>
      <c r="C8" s="35" t="s">
        <v>55</v>
      </c>
      <c r="D8" s="11">
        <v>19</v>
      </c>
      <c r="E8" s="11">
        <v>4</v>
      </c>
      <c r="F8" s="11">
        <v>7</v>
      </c>
      <c r="G8" s="11">
        <v>14</v>
      </c>
      <c r="H8" s="11">
        <v>22</v>
      </c>
      <c r="I8" s="11">
        <v>10</v>
      </c>
      <c r="J8" s="11">
        <v>22</v>
      </c>
      <c r="K8" s="11">
        <v>5</v>
      </c>
      <c r="L8" s="11">
        <v>4</v>
      </c>
      <c r="M8" s="11">
        <v>12</v>
      </c>
      <c r="N8" s="11">
        <v>18</v>
      </c>
      <c r="O8" s="11">
        <v>24</v>
      </c>
      <c r="P8" s="36">
        <f>SUM(πνκΈξοδα[[#This Row],[Στήλη1]:[Δεκ]])</f>
        <v>161</v>
      </c>
      <c r="Q8" s="12">
        <v>0.08</v>
      </c>
      <c r="R8" s="37">
        <f>πνκΈξοδα[[#This Row],[Στήλη1]]/πνκΈξοδα[[#Totals],[Στήλη1]]</f>
        <v>8.050847457627118E-2</v>
      </c>
      <c r="S8" s="37">
        <f>πνκΈξοδα[[#This Row],[Φεβ]]/πνκΈξοδα[[#Totals],[Φεβ]]</f>
        <v>1.9512195121951219E-2</v>
      </c>
      <c r="T8" s="37">
        <f>πνκΈξοδα[[#This Row],[Μαρ]]/πνκΈξοδα[[#Totals],[Μαρ]]</f>
        <v>2.8112449799196786E-2</v>
      </c>
      <c r="U8" s="37">
        <f>πνκΈξοδα[[#This Row],[Απρ]]/πνκΈξοδα[[#Totals],[Απρ]]</f>
        <v>5.3639846743295021E-2</v>
      </c>
      <c r="V8" s="37">
        <f>πνκΈξοδα[[#This Row],[Μαϊ]]/πνκΈξοδα[[#Totals],[Μαϊ]]</f>
        <v>8.5603112840466927E-2</v>
      </c>
      <c r="W8" s="37">
        <f>πνκΈξοδα[[#This Row],[Ιουν]]/πνκΈξοδα[[#Totals],[Ιουν]]</f>
        <v>3.6496350364963501E-2</v>
      </c>
      <c r="X8" s="37">
        <f>πνκΈξοδα[[#This Row],[Ιουλ]]/πνκΈξοδα[[#Totals],[Ιουλ]]</f>
        <v>8.2706766917293228E-2</v>
      </c>
      <c r="Y8" s="37">
        <f>πνκΈξοδα[[#This Row],[Αυγ]]/πνκΈξοδα[[#Totals],[Αυγ]]</f>
        <v>2.1276595744680851E-2</v>
      </c>
      <c r="Z8" s="37">
        <f>πνκΈξοδα[[#This Row],[Σεπ]]/πνκΈξοδα[[#Totals],[Σεπ]]</f>
        <v>1.7391304347826087E-2</v>
      </c>
      <c r="AA8" s="37">
        <f>πνκΈξοδα[[#This Row],[Οκτ]]/πνκΈξοδα[[#Totals],[Οκτ]]</f>
        <v>4.633204633204633E-2</v>
      </c>
      <c r="AB8" s="37">
        <f>πνκΈξοδα[[#This Row],[Νοε]]/πνκΈξοδα[[#Totals],[Νοε]]</f>
        <v>6.0810810810810814E-2</v>
      </c>
      <c r="AC8" s="37">
        <f>πνκΈξοδα[[#This Row],[Δεκ]]/πνκΈξοδα[[#Totals],[Δεκ]]</f>
        <v>0.1038961038961039</v>
      </c>
      <c r="AD8" s="37">
        <f>πνκΈξοδα[[#This Row],[Ετήσια]]/πνκΈξοδα[[#Totals],[Ετήσια]]</f>
        <v>5.3684561520506838E-2</v>
      </c>
    </row>
    <row r="9" spans="1:30" ht="30" customHeight="1" x14ac:dyDescent="0.2">
      <c r="B9" s="26" t="s">
        <v>40</v>
      </c>
      <c r="C9" s="35" t="s">
        <v>55</v>
      </c>
      <c r="D9" s="11">
        <v>11</v>
      </c>
      <c r="E9" s="11">
        <v>11</v>
      </c>
      <c r="F9" s="11">
        <v>17</v>
      </c>
      <c r="G9" s="11">
        <v>12</v>
      </c>
      <c r="H9" s="11">
        <v>2</v>
      </c>
      <c r="I9" s="11">
        <v>14</v>
      </c>
      <c r="J9" s="11">
        <v>12</v>
      </c>
      <c r="K9" s="11">
        <v>10</v>
      </c>
      <c r="L9" s="11">
        <v>18</v>
      </c>
      <c r="M9" s="11">
        <v>11</v>
      </c>
      <c r="N9" s="11">
        <v>23</v>
      </c>
      <c r="O9" s="11">
        <v>11</v>
      </c>
      <c r="P9" s="36">
        <f>SUM(πνκΈξοδα[[#This Row],[Στήλη1]:[Δεκ]])</f>
        <v>152</v>
      </c>
      <c r="Q9" s="12">
        <v>0.03</v>
      </c>
      <c r="R9" s="37">
        <f>πνκΈξοδα[[#This Row],[Στήλη1]]/πνκΈξοδα[[#Totals],[Στήλη1]]</f>
        <v>4.6610169491525424E-2</v>
      </c>
      <c r="S9" s="37">
        <f>πνκΈξοδα[[#This Row],[Φεβ]]/πνκΈξοδα[[#Totals],[Φεβ]]</f>
        <v>5.3658536585365853E-2</v>
      </c>
      <c r="T9" s="37">
        <f>πνκΈξοδα[[#This Row],[Μαρ]]/πνκΈξοδα[[#Totals],[Μαρ]]</f>
        <v>6.8273092369477914E-2</v>
      </c>
      <c r="U9" s="37">
        <f>πνκΈξοδα[[#This Row],[Απρ]]/πνκΈξοδα[[#Totals],[Απρ]]</f>
        <v>4.5977011494252873E-2</v>
      </c>
      <c r="V9" s="37">
        <f>πνκΈξοδα[[#This Row],[Μαϊ]]/πνκΈξοδα[[#Totals],[Μαϊ]]</f>
        <v>7.7821011673151752E-3</v>
      </c>
      <c r="W9" s="37">
        <f>πνκΈξοδα[[#This Row],[Ιουν]]/πνκΈξοδα[[#Totals],[Ιουν]]</f>
        <v>5.1094890510948905E-2</v>
      </c>
      <c r="X9" s="37">
        <f>πνκΈξοδα[[#This Row],[Ιουλ]]/πνκΈξοδα[[#Totals],[Ιουλ]]</f>
        <v>4.5112781954887216E-2</v>
      </c>
      <c r="Y9" s="37">
        <f>πνκΈξοδα[[#This Row],[Αυγ]]/πνκΈξοδα[[#Totals],[Αυγ]]</f>
        <v>4.2553191489361701E-2</v>
      </c>
      <c r="Z9" s="37">
        <f>πνκΈξοδα[[#This Row],[Σεπ]]/πνκΈξοδα[[#Totals],[Σεπ]]</f>
        <v>7.8260869565217397E-2</v>
      </c>
      <c r="AA9" s="37">
        <f>πνκΈξοδα[[#This Row],[Οκτ]]/πνκΈξοδα[[#Totals],[Οκτ]]</f>
        <v>4.2471042471042469E-2</v>
      </c>
      <c r="AB9" s="37">
        <f>πνκΈξοδα[[#This Row],[Νοε]]/πνκΈξοδα[[#Totals],[Νοε]]</f>
        <v>7.77027027027027E-2</v>
      </c>
      <c r="AC9" s="37">
        <f>πνκΈξοδα[[#This Row],[Δεκ]]/πνκΈξοδα[[#Totals],[Δεκ]]</f>
        <v>4.7619047619047616E-2</v>
      </c>
      <c r="AD9" s="37">
        <f>πνκΈξοδα[[#This Row],[Ετήσια]]/πνκΈξοδα[[#Totals],[Ετήσια]]</f>
        <v>5.0683561187062354E-2</v>
      </c>
    </row>
    <row r="10" spans="1:30" ht="30" customHeight="1" x14ac:dyDescent="0.2">
      <c r="B10" s="26" t="s">
        <v>41</v>
      </c>
      <c r="C10" s="35" t="s">
        <v>55</v>
      </c>
      <c r="D10" s="11">
        <v>2</v>
      </c>
      <c r="E10" s="11">
        <v>16</v>
      </c>
      <c r="F10" s="11">
        <v>6</v>
      </c>
      <c r="G10" s="11">
        <v>13</v>
      </c>
      <c r="H10" s="11">
        <v>11</v>
      </c>
      <c r="I10" s="11">
        <v>22</v>
      </c>
      <c r="J10" s="11">
        <v>21</v>
      </c>
      <c r="K10" s="11">
        <v>3</v>
      </c>
      <c r="L10" s="11">
        <v>12</v>
      </c>
      <c r="M10" s="11">
        <v>7</v>
      </c>
      <c r="N10" s="11">
        <v>17</v>
      </c>
      <c r="O10" s="11">
        <v>20</v>
      </c>
      <c r="P10" s="36">
        <f>SUM(πνκΈξοδα[[#This Row],[Στήλη1]:[Δεκ]])</f>
        <v>150</v>
      </c>
      <c r="Q10" s="12">
        <v>0.15</v>
      </c>
      <c r="R10" s="37">
        <f>πνκΈξοδα[[#This Row],[Στήλη1]]/πνκΈξοδα[[#Totals],[Στήλη1]]</f>
        <v>8.4745762711864406E-3</v>
      </c>
      <c r="S10" s="37">
        <f>πνκΈξοδα[[#This Row],[Φεβ]]/πνκΈξοδα[[#Totals],[Φεβ]]</f>
        <v>7.8048780487804878E-2</v>
      </c>
      <c r="T10" s="37">
        <f>πνκΈξοδα[[#This Row],[Μαρ]]/πνκΈξοδα[[#Totals],[Μαρ]]</f>
        <v>2.4096385542168676E-2</v>
      </c>
      <c r="U10" s="37">
        <f>πνκΈξοδα[[#This Row],[Απρ]]/πνκΈξοδα[[#Totals],[Απρ]]</f>
        <v>4.9808429118773943E-2</v>
      </c>
      <c r="V10" s="37">
        <f>πνκΈξοδα[[#This Row],[Μαϊ]]/πνκΈξοδα[[#Totals],[Μαϊ]]</f>
        <v>4.2801556420233464E-2</v>
      </c>
      <c r="W10" s="37">
        <f>πνκΈξοδα[[#This Row],[Ιουν]]/πνκΈξοδα[[#Totals],[Ιουν]]</f>
        <v>8.0291970802919707E-2</v>
      </c>
      <c r="X10" s="37">
        <f>πνκΈξοδα[[#This Row],[Ιουλ]]/πνκΈξοδα[[#Totals],[Ιουλ]]</f>
        <v>7.8947368421052627E-2</v>
      </c>
      <c r="Y10" s="37">
        <f>πνκΈξοδα[[#This Row],[Αυγ]]/πνκΈξοδα[[#Totals],[Αυγ]]</f>
        <v>1.276595744680851E-2</v>
      </c>
      <c r="Z10" s="37">
        <f>πνκΈξοδα[[#This Row],[Σεπ]]/πνκΈξοδα[[#Totals],[Σεπ]]</f>
        <v>5.2173913043478258E-2</v>
      </c>
      <c r="AA10" s="37">
        <f>πνκΈξοδα[[#This Row],[Οκτ]]/πνκΈξοδα[[#Totals],[Οκτ]]</f>
        <v>2.7027027027027029E-2</v>
      </c>
      <c r="AB10" s="37">
        <f>πνκΈξοδα[[#This Row],[Νοε]]/πνκΈξοδα[[#Totals],[Νοε]]</f>
        <v>5.7432432432432436E-2</v>
      </c>
      <c r="AC10" s="37">
        <f>πνκΈξοδα[[#This Row],[Δεκ]]/πνκΈξοδα[[#Totals],[Δεκ]]</f>
        <v>8.6580086580086577E-2</v>
      </c>
      <c r="AD10" s="37">
        <f>πνκΈξοδα[[#This Row],[Ετήσια]]/πνκΈξοδα[[#Totals],[Ετήσια]]</f>
        <v>5.0016672224074694E-2</v>
      </c>
    </row>
    <row r="11" spans="1:30" ht="30" customHeight="1" x14ac:dyDescent="0.2">
      <c r="B11" s="26" t="s">
        <v>42</v>
      </c>
      <c r="C11" s="35" t="s">
        <v>55</v>
      </c>
      <c r="D11" s="11">
        <v>8</v>
      </c>
      <c r="E11" s="11">
        <v>17</v>
      </c>
      <c r="F11" s="11">
        <v>11</v>
      </c>
      <c r="G11" s="11">
        <v>11</v>
      </c>
      <c r="H11" s="11">
        <v>21</v>
      </c>
      <c r="I11" s="11">
        <v>9</v>
      </c>
      <c r="J11" s="11">
        <v>20</v>
      </c>
      <c r="K11" s="11">
        <v>3</v>
      </c>
      <c r="L11" s="11">
        <v>14</v>
      </c>
      <c r="M11" s="11">
        <v>22</v>
      </c>
      <c r="N11" s="11">
        <v>16</v>
      </c>
      <c r="O11" s="11">
        <v>12</v>
      </c>
      <c r="P11" s="36">
        <f>SUM(πνκΈξοδα[[#This Row],[Στήλη1]:[Δεκ]])</f>
        <v>164</v>
      </c>
      <c r="Q11" s="12">
        <v>0.12</v>
      </c>
      <c r="R11" s="37">
        <f>πνκΈξοδα[[#This Row],[Στήλη1]]/πνκΈξοδα[[#Totals],[Στήλη1]]</f>
        <v>3.3898305084745763E-2</v>
      </c>
      <c r="S11" s="37">
        <f>πνκΈξοδα[[#This Row],[Φεβ]]/πνκΈξοδα[[#Totals],[Φεβ]]</f>
        <v>8.2926829268292687E-2</v>
      </c>
      <c r="T11" s="37">
        <f>πνκΈξοδα[[#This Row],[Μαρ]]/πνκΈξοδα[[#Totals],[Μαρ]]</f>
        <v>4.4176706827309238E-2</v>
      </c>
      <c r="U11" s="37">
        <f>πνκΈξοδα[[#This Row],[Απρ]]/πνκΈξοδα[[#Totals],[Απρ]]</f>
        <v>4.2145593869731802E-2</v>
      </c>
      <c r="V11" s="37">
        <f>πνκΈξοδα[[#This Row],[Μαϊ]]/πνκΈξοδα[[#Totals],[Μαϊ]]</f>
        <v>8.171206225680934E-2</v>
      </c>
      <c r="W11" s="37">
        <f>πνκΈξοδα[[#This Row],[Ιουν]]/πνκΈξοδα[[#Totals],[Ιουν]]</f>
        <v>3.2846715328467155E-2</v>
      </c>
      <c r="X11" s="37">
        <f>πνκΈξοδα[[#This Row],[Ιουλ]]/πνκΈξοδα[[#Totals],[Ιουλ]]</f>
        <v>7.5187969924812026E-2</v>
      </c>
      <c r="Y11" s="37">
        <f>πνκΈξοδα[[#This Row],[Αυγ]]/πνκΈξοδα[[#Totals],[Αυγ]]</f>
        <v>1.276595744680851E-2</v>
      </c>
      <c r="Z11" s="37">
        <f>πνκΈξοδα[[#This Row],[Σεπ]]/πνκΈξοδα[[#Totals],[Σεπ]]</f>
        <v>6.0869565217391307E-2</v>
      </c>
      <c r="AA11" s="37">
        <f>πνκΈξοδα[[#This Row],[Οκτ]]/πνκΈξοδα[[#Totals],[Οκτ]]</f>
        <v>8.4942084942084939E-2</v>
      </c>
      <c r="AB11" s="37">
        <f>πνκΈξοδα[[#This Row],[Νοε]]/πνκΈξοδα[[#Totals],[Νοε]]</f>
        <v>5.4054054054054057E-2</v>
      </c>
      <c r="AC11" s="37">
        <f>πνκΈξοδα[[#This Row],[Δεκ]]/πνκΈξοδα[[#Totals],[Δεκ]]</f>
        <v>5.1948051948051951E-2</v>
      </c>
      <c r="AD11" s="37">
        <f>πνκΈξοδα[[#This Row],[Ετήσια]]/πνκΈξοδα[[#Totals],[Ετήσια]]</f>
        <v>5.468489496498833E-2</v>
      </c>
    </row>
    <row r="12" spans="1:30" ht="30" customHeight="1" x14ac:dyDescent="0.2">
      <c r="B12" s="26" t="s">
        <v>43</v>
      </c>
      <c r="C12" s="35" t="s">
        <v>55</v>
      </c>
      <c r="D12" s="11">
        <v>5</v>
      </c>
      <c r="E12" s="11">
        <v>13</v>
      </c>
      <c r="F12" s="11">
        <v>6</v>
      </c>
      <c r="G12" s="11">
        <v>15</v>
      </c>
      <c r="H12" s="11">
        <v>19</v>
      </c>
      <c r="I12" s="11">
        <v>10</v>
      </c>
      <c r="J12" s="11">
        <v>12</v>
      </c>
      <c r="K12" s="11">
        <v>9</v>
      </c>
      <c r="L12" s="11">
        <v>15</v>
      </c>
      <c r="M12" s="11">
        <v>16</v>
      </c>
      <c r="N12" s="11">
        <v>4</v>
      </c>
      <c r="O12" s="11">
        <v>9</v>
      </c>
      <c r="P12" s="36">
        <f>SUM(πνκΈξοδα[[#This Row],[Στήλη1]:[Δεκ]])</f>
        <v>133</v>
      </c>
      <c r="Q12" s="12">
        <v>0.09</v>
      </c>
      <c r="R12" s="37">
        <f>πνκΈξοδα[[#This Row],[Στήλη1]]/πνκΈξοδα[[#Totals],[Στήλη1]]</f>
        <v>2.1186440677966101E-2</v>
      </c>
      <c r="S12" s="37">
        <f>πνκΈξοδα[[#This Row],[Φεβ]]/πνκΈξοδα[[#Totals],[Φεβ]]</f>
        <v>6.3414634146341464E-2</v>
      </c>
      <c r="T12" s="37">
        <f>πνκΈξοδα[[#This Row],[Μαρ]]/πνκΈξοδα[[#Totals],[Μαρ]]</f>
        <v>2.4096385542168676E-2</v>
      </c>
      <c r="U12" s="37">
        <f>πνκΈξοδα[[#This Row],[Απρ]]/πνκΈξοδα[[#Totals],[Απρ]]</f>
        <v>5.7471264367816091E-2</v>
      </c>
      <c r="V12" s="37">
        <f>πνκΈξοδα[[#This Row],[Μαϊ]]/πνκΈξοδα[[#Totals],[Μαϊ]]</f>
        <v>7.3929961089494164E-2</v>
      </c>
      <c r="W12" s="37">
        <f>πνκΈξοδα[[#This Row],[Ιουν]]/πνκΈξοδα[[#Totals],[Ιουν]]</f>
        <v>3.6496350364963501E-2</v>
      </c>
      <c r="X12" s="37">
        <f>πνκΈξοδα[[#This Row],[Ιουλ]]/πνκΈξοδα[[#Totals],[Ιουλ]]</f>
        <v>4.5112781954887216E-2</v>
      </c>
      <c r="Y12" s="37">
        <f>πνκΈξοδα[[#This Row],[Αυγ]]/πνκΈξοδα[[#Totals],[Αυγ]]</f>
        <v>3.8297872340425532E-2</v>
      </c>
      <c r="Z12" s="37">
        <f>πνκΈξοδα[[#This Row],[Σεπ]]/πνκΈξοδα[[#Totals],[Σεπ]]</f>
        <v>6.5217391304347824E-2</v>
      </c>
      <c r="AA12" s="37">
        <f>πνκΈξοδα[[#This Row],[Οκτ]]/πνκΈξοδα[[#Totals],[Οκτ]]</f>
        <v>6.1776061776061778E-2</v>
      </c>
      <c r="AB12" s="37">
        <f>πνκΈξοδα[[#This Row],[Νοε]]/πνκΈξοδα[[#Totals],[Νοε]]</f>
        <v>1.3513513513513514E-2</v>
      </c>
      <c r="AC12" s="37">
        <f>πνκΈξοδα[[#This Row],[Δεκ]]/πνκΈξοδα[[#Totals],[Δεκ]]</f>
        <v>3.896103896103896E-2</v>
      </c>
      <c r="AD12" s="37">
        <f>πνκΈξοδα[[#This Row],[Ετήσια]]/πνκΈξοδα[[#Totals],[Ετήσια]]</f>
        <v>4.4348116038679559E-2</v>
      </c>
    </row>
    <row r="13" spans="1:30" ht="30" customHeight="1" x14ac:dyDescent="0.2">
      <c r="B13" s="26" t="s">
        <v>44</v>
      </c>
      <c r="C13" s="35" t="s">
        <v>55</v>
      </c>
      <c r="D13" s="11">
        <v>8</v>
      </c>
      <c r="E13" s="11">
        <v>4</v>
      </c>
      <c r="F13" s="11">
        <v>23</v>
      </c>
      <c r="G13" s="11">
        <v>25</v>
      </c>
      <c r="H13" s="11">
        <v>10</v>
      </c>
      <c r="I13" s="11">
        <v>24</v>
      </c>
      <c r="J13" s="11">
        <v>22</v>
      </c>
      <c r="K13" s="11">
        <v>5</v>
      </c>
      <c r="L13" s="11">
        <v>12</v>
      </c>
      <c r="M13" s="11">
        <v>24</v>
      </c>
      <c r="N13" s="11">
        <v>24</v>
      </c>
      <c r="O13" s="11">
        <v>12</v>
      </c>
      <c r="P13" s="36">
        <f>SUM(πνκΈξοδα[[#This Row],[Στήλη1]:[Δεκ]])</f>
        <v>193</v>
      </c>
      <c r="Q13" s="12">
        <v>0.01</v>
      </c>
      <c r="R13" s="37">
        <f>πνκΈξοδα[[#This Row],[Στήλη1]]/πνκΈξοδα[[#Totals],[Στήλη1]]</f>
        <v>3.3898305084745763E-2</v>
      </c>
      <c r="S13" s="37">
        <f>πνκΈξοδα[[#This Row],[Φεβ]]/πνκΈξοδα[[#Totals],[Φεβ]]</f>
        <v>1.9512195121951219E-2</v>
      </c>
      <c r="T13" s="37">
        <f>πνκΈξοδα[[#This Row],[Μαρ]]/πνκΈξοδα[[#Totals],[Μαρ]]</f>
        <v>9.2369477911646583E-2</v>
      </c>
      <c r="U13" s="37">
        <f>πνκΈξοδα[[#This Row],[Απρ]]/πνκΈξοδα[[#Totals],[Απρ]]</f>
        <v>9.5785440613026823E-2</v>
      </c>
      <c r="V13" s="37">
        <f>πνκΈξοδα[[#This Row],[Μαϊ]]/πνκΈξοδα[[#Totals],[Μαϊ]]</f>
        <v>3.8910505836575876E-2</v>
      </c>
      <c r="W13" s="37">
        <f>πνκΈξοδα[[#This Row],[Ιουν]]/πνκΈξοδα[[#Totals],[Ιουν]]</f>
        <v>8.7591240875912413E-2</v>
      </c>
      <c r="X13" s="37">
        <f>πνκΈξοδα[[#This Row],[Ιουλ]]/πνκΈξοδα[[#Totals],[Ιουλ]]</f>
        <v>8.2706766917293228E-2</v>
      </c>
      <c r="Y13" s="37">
        <f>πνκΈξοδα[[#This Row],[Αυγ]]/πνκΈξοδα[[#Totals],[Αυγ]]</f>
        <v>2.1276595744680851E-2</v>
      </c>
      <c r="Z13" s="37">
        <f>πνκΈξοδα[[#This Row],[Σεπ]]/πνκΈξοδα[[#Totals],[Σεπ]]</f>
        <v>5.2173913043478258E-2</v>
      </c>
      <c r="AA13" s="37">
        <f>πνκΈξοδα[[#This Row],[Οκτ]]/πνκΈξοδα[[#Totals],[Οκτ]]</f>
        <v>9.2664092664092659E-2</v>
      </c>
      <c r="AB13" s="37">
        <f>πνκΈξοδα[[#This Row],[Νοε]]/πνκΈξοδα[[#Totals],[Νοε]]</f>
        <v>8.1081081081081086E-2</v>
      </c>
      <c r="AC13" s="37">
        <f>πνκΈξοδα[[#This Row],[Δεκ]]/πνκΈξοδα[[#Totals],[Δεκ]]</f>
        <v>5.1948051948051951E-2</v>
      </c>
      <c r="AD13" s="37">
        <f>πνκΈξοδα[[#This Row],[Ετήσια]]/πνκΈξοδα[[#Totals],[Ετήσια]]</f>
        <v>6.4354784928309441E-2</v>
      </c>
    </row>
    <row r="14" spans="1:30" ht="30" customHeight="1" x14ac:dyDescent="0.2">
      <c r="B14" s="26" t="s">
        <v>45</v>
      </c>
      <c r="C14" s="35" t="s">
        <v>55</v>
      </c>
      <c r="D14" s="11">
        <v>25</v>
      </c>
      <c r="E14" s="11">
        <v>2</v>
      </c>
      <c r="F14" s="11">
        <v>12</v>
      </c>
      <c r="G14" s="11">
        <v>25</v>
      </c>
      <c r="H14" s="11">
        <v>10</v>
      </c>
      <c r="I14" s="11">
        <v>24</v>
      </c>
      <c r="J14" s="11">
        <v>3</v>
      </c>
      <c r="K14" s="11">
        <v>20</v>
      </c>
      <c r="L14" s="11">
        <v>3</v>
      </c>
      <c r="M14" s="11">
        <v>9</v>
      </c>
      <c r="N14" s="11">
        <v>20</v>
      </c>
      <c r="O14" s="11">
        <v>18</v>
      </c>
      <c r="P14" s="36">
        <f>SUM(πνκΈξοδα[[#This Row],[Στήλη1]:[Δεκ]])</f>
        <v>171</v>
      </c>
      <c r="Q14" s="12">
        <v>0.01</v>
      </c>
      <c r="R14" s="37">
        <f>πνκΈξοδα[[#This Row],[Στήλη1]]/πνκΈξοδα[[#Totals],[Στήλη1]]</f>
        <v>0.1059322033898305</v>
      </c>
      <c r="S14" s="37">
        <f>πνκΈξοδα[[#This Row],[Φεβ]]/πνκΈξοδα[[#Totals],[Φεβ]]</f>
        <v>9.7560975609756097E-3</v>
      </c>
      <c r="T14" s="37">
        <f>πνκΈξοδα[[#This Row],[Μαρ]]/πνκΈξοδα[[#Totals],[Μαρ]]</f>
        <v>4.8192771084337352E-2</v>
      </c>
      <c r="U14" s="37">
        <f>πνκΈξοδα[[#This Row],[Απρ]]/πνκΈξοδα[[#Totals],[Απρ]]</f>
        <v>9.5785440613026823E-2</v>
      </c>
      <c r="V14" s="37">
        <f>πνκΈξοδα[[#This Row],[Μαϊ]]/πνκΈξοδα[[#Totals],[Μαϊ]]</f>
        <v>3.8910505836575876E-2</v>
      </c>
      <c r="W14" s="37">
        <f>πνκΈξοδα[[#This Row],[Ιουν]]/πνκΈξοδα[[#Totals],[Ιουν]]</f>
        <v>8.7591240875912413E-2</v>
      </c>
      <c r="X14" s="37">
        <f>πνκΈξοδα[[#This Row],[Ιουλ]]/πνκΈξοδα[[#Totals],[Ιουλ]]</f>
        <v>1.1278195488721804E-2</v>
      </c>
      <c r="Y14" s="37">
        <f>πνκΈξοδα[[#This Row],[Αυγ]]/πνκΈξοδα[[#Totals],[Αυγ]]</f>
        <v>8.5106382978723402E-2</v>
      </c>
      <c r="Z14" s="37">
        <f>πνκΈξοδα[[#This Row],[Σεπ]]/πνκΈξοδα[[#Totals],[Σεπ]]</f>
        <v>1.3043478260869565E-2</v>
      </c>
      <c r="AA14" s="37">
        <f>πνκΈξοδα[[#This Row],[Οκτ]]/πνκΈξοδα[[#Totals],[Οκτ]]</f>
        <v>3.4749034749034749E-2</v>
      </c>
      <c r="AB14" s="37">
        <f>πνκΈξοδα[[#This Row],[Νοε]]/πνκΈξοδα[[#Totals],[Νοε]]</f>
        <v>6.7567567567567571E-2</v>
      </c>
      <c r="AC14" s="37">
        <f>πνκΈξοδα[[#This Row],[Δεκ]]/πνκΈξοδα[[#Totals],[Δεκ]]</f>
        <v>7.792207792207792E-2</v>
      </c>
      <c r="AD14" s="37">
        <f>πνκΈξοδα[[#This Row],[Ετήσια]]/πνκΈξοδα[[#Totals],[Ετήσια]]</f>
        <v>5.7019006335445148E-2</v>
      </c>
    </row>
    <row r="15" spans="1:30" ht="30" customHeight="1" x14ac:dyDescent="0.2">
      <c r="B15" s="26" t="s">
        <v>46</v>
      </c>
      <c r="C15" s="35" t="s">
        <v>55</v>
      </c>
      <c r="D15" s="11">
        <v>16</v>
      </c>
      <c r="E15" s="11">
        <v>19</v>
      </c>
      <c r="F15" s="11">
        <v>9</v>
      </c>
      <c r="G15" s="11">
        <v>16</v>
      </c>
      <c r="H15" s="11">
        <v>13</v>
      </c>
      <c r="I15" s="11">
        <v>2</v>
      </c>
      <c r="J15" s="11">
        <v>4</v>
      </c>
      <c r="K15" s="11">
        <v>24</v>
      </c>
      <c r="L15" s="11">
        <v>16</v>
      </c>
      <c r="M15" s="11">
        <v>22</v>
      </c>
      <c r="N15" s="11">
        <v>7</v>
      </c>
      <c r="O15" s="11">
        <v>18</v>
      </c>
      <c r="P15" s="36">
        <f>SUM(πνκΈξοδα[[#This Row],[Στήλη1]:[Δεκ]])</f>
        <v>166</v>
      </c>
      <c r="Q15" s="12">
        <v>0.01</v>
      </c>
      <c r="R15" s="37">
        <f>πνκΈξοδα[[#This Row],[Στήλη1]]/πνκΈξοδα[[#Totals],[Στήλη1]]</f>
        <v>6.7796610169491525E-2</v>
      </c>
      <c r="S15" s="37">
        <f>πνκΈξοδα[[#This Row],[Φεβ]]/πνκΈξοδα[[#Totals],[Φεβ]]</f>
        <v>9.2682926829268292E-2</v>
      </c>
      <c r="T15" s="37">
        <f>πνκΈξοδα[[#This Row],[Μαρ]]/πνκΈξοδα[[#Totals],[Μαρ]]</f>
        <v>3.614457831325301E-2</v>
      </c>
      <c r="U15" s="37">
        <f>πνκΈξοδα[[#This Row],[Απρ]]/πνκΈξοδα[[#Totals],[Απρ]]</f>
        <v>6.1302681992337162E-2</v>
      </c>
      <c r="V15" s="37">
        <f>πνκΈξοδα[[#This Row],[Μαϊ]]/πνκΈξοδα[[#Totals],[Μαϊ]]</f>
        <v>5.0583657587548639E-2</v>
      </c>
      <c r="W15" s="37">
        <f>πνκΈξοδα[[#This Row],[Ιουν]]/πνκΈξοδα[[#Totals],[Ιουν]]</f>
        <v>7.2992700729927005E-3</v>
      </c>
      <c r="X15" s="37">
        <f>πνκΈξοδα[[#This Row],[Ιουλ]]/πνκΈξοδα[[#Totals],[Ιουλ]]</f>
        <v>1.5037593984962405E-2</v>
      </c>
      <c r="Y15" s="37">
        <f>πνκΈξοδα[[#This Row],[Αυγ]]/πνκΈξοδα[[#Totals],[Αυγ]]</f>
        <v>0.10212765957446808</v>
      </c>
      <c r="Z15" s="37">
        <f>πνκΈξοδα[[#This Row],[Σεπ]]/πνκΈξοδα[[#Totals],[Σεπ]]</f>
        <v>6.9565217391304349E-2</v>
      </c>
      <c r="AA15" s="37">
        <f>πνκΈξοδα[[#This Row],[Οκτ]]/πνκΈξοδα[[#Totals],[Οκτ]]</f>
        <v>8.4942084942084939E-2</v>
      </c>
      <c r="AB15" s="37">
        <f>πνκΈξοδα[[#This Row],[Νοε]]/πνκΈξοδα[[#Totals],[Νοε]]</f>
        <v>2.364864864864865E-2</v>
      </c>
      <c r="AC15" s="37">
        <f>πνκΈξοδα[[#This Row],[Δεκ]]/πνκΈξοδα[[#Totals],[Δεκ]]</f>
        <v>7.792207792207792E-2</v>
      </c>
      <c r="AD15" s="37">
        <f>πνκΈξοδα[[#This Row],[Ετήσια]]/πνκΈξοδα[[#Totals],[Ετήσια]]</f>
        <v>5.5351783927975989E-2</v>
      </c>
    </row>
    <row r="16" spans="1:30" ht="30" customHeight="1" x14ac:dyDescent="0.2">
      <c r="B16" s="26" t="s">
        <v>47</v>
      </c>
      <c r="C16" s="35" t="s">
        <v>55</v>
      </c>
      <c r="D16" s="11">
        <v>12</v>
      </c>
      <c r="E16" s="11">
        <v>9</v>
      </c>
      <c r="F16" s="11">
        <v>16</v>
      </c>
      <c r="G16" s="11">
        <v>19</v>
      </c>
      <c r="H16" s="11">
        <v>25</v>
      </c>
      <c r="I16" s="11">
        <v>17</v>
      </c>
      <c r="J16" s="11">
        <v>20</v>
      </c>
      <c r="K16" s="11">
        <v>14</v>
      </c>
      <c r="L16" s="11">
        <v>5</v>
      </c>
      <c r="M16" s="11">
        <v>14</v>
      </c>
      <c r="N16" s="11">
        <v>5</v>
      </c>
      <c r="O16" s="11">
        <v>2</v>
      </c>
      <c r="P16" s="36">
        <f>SUM(πνκΈξοδα[[#This Row],[Στήλη1]:[Δεκ]])</f>
        <v>158</v>
      </c>
      <c r="Q16" s="12">
        <v>0.01</v>
      </c>
      <c r="R16" s="37">
        <f>πνκΈξοδα[[#This Row],[Στήλη1]]/πνκΈξοδα[[#Totals],[Στήλη1]]</f>
        <v>5.0847457627118647E-2</v>
      </c>
      <c r="S16" s="37">
        <f>πνκΈξοδα[[#This Row],[Φεβ]]/πνκΈξοδα[[#Totals],[Φεβ]]</f>
        <v>4.3902439024390241E-2</v>
      </c>
      <c r="T16" s="37">
        <f>πνκΈξοδα[[#This Row],[Μαρ]]/πνκΈξοδα[[#Totals],[Μαρ]]</f>
        <v>6.4257028112449793E-2</v>
      </c>
      <c r="U16" s="37">
        <f>πνκΈξοδα[[#This Row],[Απρ]]/πνκΈξοδα[[#Totals],[Απρ]]</f>
        <v>7.2796934865900387E-2</v>
      </c>
      <c r="V16" s="37">
        <f>πνκΈξοδα[[#This Row],[Μαϊ]]/πνκΈξοδα[[#Totals],[Μαϊ]]</f>
        <v>9.727626459143969E-2</v>
      </c>
      <c r="W16" s="37">
        <f>πνκΈξοδα[[#This Row],[Ιουν]]/πνκΈξοδα[[#Totals],[Ιουν]]</f>
        <v>6.2043795620437957E-2</v>
      </c>
      <c r="X16" s="37">
        <f>πνκΈξοδα[[#This Row],[Ιουλ]]/πνκΈξοδα[[#Totals],[Ιουλ]]</f>
        <v>7.5187969924812026E-2</v>
      </c>
      <c r="Y16" s="37">
        <f>πνκΈξοδα[[#This Row],[Αυγ]]/πνκΈξοδα[[#Totals],[Αυγ]]</f>
        <v>5.9574468085106386E-2</v>
      </c>
      <c r="Z16" s="37">
        <f>πνκΈξοδα[[#This Row],[Σεπ]]/πνκΈξοδα[[#Totals],[Σεπ]]</f>
        <v>2.1739130434782608E-2</v>
      </c>
      <c r="AA16" s="37">
        <f>πνκΈξοδα[[#This Row],[Οκτ]]/πνκΈξοδα[[#Totals],[Οκτ]]</f>
        <v>5.4054054054054057E-2</v>
      </c>
      <c r="AB16" s="37">
        <f>πνκΈξοδα[[#This Row],[Νοε]]/πνκΈξοδα[[#Totals],[Νοε]]</f>
        <v>1.6891891891891893E-2</v>
      </c>
      <c r="AC16" s="37">
        <f>πνκΈξοδα[[#This Row],[Δεκ]]/πνκΈξοδα[[#Totals],[Δεκ]]</f>
        <v>8.658008658008658E-3</v>
      </c>
      <c r="AD16" s="37">
        <f>πνκΈξοδα[[#This Row],[Ετήσια]]/πνκΈξοδα[[#Totals],[Ετήσια]]</f>
        <v>5.2684228076025338E-2</v>
      </c>
    </row>
    <row r="17" spans="1:30" ht="30" customHeight="1" x14ac:dyDescent="0.2">
      <c r="B17" s="26" t="s">
        <v>48</v>
      </c>
      <c r="C17" s="35" t="s">
        <v>55</v>
      </c>
      <c r="D17" s="11">
        <v>16</v>
      </c>
      <c r="E17" s="11">
        <v>13</v>
      </c>
      <c r="F17" s="11">
        <v>10</v>
      </c>
      <c r="G17" s="11">
        <v>7</v>
      </c>
      <c r="H17" s="11">
        <v>13</v>
      </c>
      <c r="I17" s="11">
        <v>3</v>
      </c>
      <c r="J17" s="11">
        <v>13</v>
      </c>
      <c r="K17" s="11">
        <v>17</v>
      </c>
      <c r="L17" s="11">
        <v>9</v>
      </c>
      <c r="M17" s="11">
        <v>4</v>
      </c>
      <c r="N17" s="11">
        <v>22</v>
      </c>
      <c r="O17" s="11">
        <v>18</v>
      </c>
      <c r="P17" s="36">
        <f>SUM(πνκΈξοδα[[#This Row],[Στήλη1]:[Δεκ]])</f>
        <v>145</v>
      </c>
      <c r="Q17" s="12">
        <v>0.14000000000000001</v>
      </c>
      <c r="R17" s="37">
        <f>πνκΈξοδα[[#This Row],[Στήλη1]]/πνκΈξοδα[[#Totals],[Στήλη1]]</f>
        <v>6.7796610169491525E-2</v>
      </c>
      <c r="S17" s="37">
        <f>πνκΈξοδα[[#This Row],[Φεβ]]/πνκΈξοδα[[#Totals],[Φεβ]]</f>
        <v>6.3414634146341464E-2</v>
      </c>
      <c r="T17" s="37">
        <f>πνκΈξοδα[[#This Row],[Μαρ]]/πνκΈξοδα[[#Totals],[Μαρ]]</f>
        <v>4.0160642570281124E-2</v>
      </c>
      <c r="U17" s="37">
        <f>πνκΈξοδα[[#This Row],[Απρ]]/πνκΈξοδα[[#Totals],[Απρ]]</f>
        <v>2.681992337164751E-2</v>
      </c>
      <c r="V17" s="37">
        <f>πνκΈξοδα[[#This Row],[Μαϊ]]/πνκΈξοδα[[#Totals],[Μαϊ]]</f>
        <v>5.0583657587548639E-2</v>
      </c>
      <c r="W17" s="37">
        <f>πνκΈξοδα[[#This Row],[Ιουν]]/πνκΈξοδα[[#Totals],[Ιουν]]</f>
        <v>1.0948905109489052E-2</v>
      </c>
      <c r="X17" s="37">
        <f>πνκΈξοδα[[#This Row],[Ιουλ]]/πνκΈξοδα[[#Totals],[Ιουλ]]</f>
        <v>4.8872180451127817E-2</v>
      </c>
      <c r="Y17" s="37">
        <f>πνκΈξοδα[[#This Row],[Αυγ]]/πνκΈξοδα[[#Totals],[Αυγ]]</f>
        <v>7.2340425531914887E-2</v>
      </c>
      <c r="Z17" s="37">
        <f>πνκΈξοδα[[#This Row],[Σεπ]]/πνκΈξοδα[[#Totals],[Σεπ]]</f>
        <v>3.9130434782608699E-2</v>
      </c>
      <c r="AA17" s="37">
        <f>πνκΈξοδα[[#This Row],[Οκτ]]/πνκΈξοδα[[#Totals],[Οκτ]]</f>
        <v>1.5444015444015444E-2</v>
      </c>
      <c r="AB17" s="37">
        <f>πνκΈξοδα[[#This Row],[Νοε]]/πνκΈξοδα[[#Totals],[Νοε]]</f>
        <v>7.4324324324324328E-2</v>
      </c>
      <c r="AC17" s="37">
        <f>πνκΈξοδα[[#This Row],[Δεκ]]/πνκΈξοδα[[#Totals],[Δεκ]]</f>
        <v>7.792207792207792E-2</v>
      </c>
      <c r="AD17" s="37">
        <f>πνκΈξοδα[[#This Row],[Ετήσια]]/πνκΈξοδα[[#Totals],[Ετήσια]]</f>
        <v>4.8349449816605536E-2</v>
      </c>
    </row>
    <row r="18" spans="1:30" ht="30" customHeight="1" x14ac:dyDescent="0.2">
      <c r="B18" s="26" t="s">
        <v>49</v>
      </c>
      <c r="C18" s="35" t="s">
        <v>55</v>
      </c>
      <c r="D18" s="11">
        <v>3</v>
      </c>
      <c r="E18" s="11">
        <v>2</v>
      </c>
      <c r="F18" s="11">
        <v>19</v>
      </c>
      <c r="G18" s="11">
        <v>21</v>
      </c>
      <c r="H18" s="11">
        <v>13</v>
      </c>
      <c r="I18" s="11">
        <v>9</v>
      </c>
      <c r="J18" s="11">
        <v>7</v>
      </c>
      <c r="K18" s="11">
        <v>13</v>
      </c>
      <c r="L18" s="11">
        <v>3</v>
      </c>
      <c r="M18" s="11">
        <v>6</v>
      </c>
      <c r="N18" s="11">
        <v>10</v>
      </c>
      <c r="O18" s="11">
        <v>13</v>
      </c>
      <c r="P18" s="36">
        <f>SUM(πνκΈξοδα[[#This Row],[Στήλη1]:[Δεκ]])</f>
        <v>119</v>
      </c>
      <c r="Q18" s="12">
        <v>0.06</v>
      </c>
      <c r="R18" s="37">
        <f>πνκΈξοδα[[#This Row],[Στήλη1]]/πνκΈξοδα[[#Totals],[Στήλη1]]</f>
        <v>1.2711864406779662E-2</v>
      </c>
      <c r="S18" s="37">
        <f>πνκΈξοδα[[#This Row],[Φεβ]]/πνκΈξοδα[[#Totals],[Φεβ]]</f>
        <v>9.7560975609756097E-3</v>
      </c>
      <c r="T18" s="37">
        <f>πνκΈξοδα[[#This Row],[Μαρ]]/πνκΈξοδα[[#Totals],[Μαρ]]</f>
        <v>7.6305220883534142E-2</v>
      </c>
      <c r="U18" s="37">
        <f>πνκΈξοδα[[#This Row],[Απρ]]/πνκΈξοδα[[#Totals],[Απρ]]</f>
        <v>8.0459770114942528E-2</v>
      </c>
      <c r="V18" s="37">
        <f>πνκΈξοδα[[#This Row],[Μαϊ]]/πνκΈξοδα[[#Totals],[Μαϊ]]</f>
        <v>5.0583657587548639E-2</v>
      </c>
      <c r="W18" s="37">
        <f>πνκΈξοδα[[#This Row],[Ιουν]]/πνκΈξοδα[[#Totals],[Ιουν]]</f>
        <v>3.2846715328467155E-2</v>
      </c>
      <c r="X18" s="37">
        <f>πνκΈξοδα[[#This Row],[Ιουλ]]/πνκΈξοδα[[#Totals],[Ιουλ]]</f>
        <v>2.6315789473684209E-2</v>
      </c>
      <c r="Y18" s="37">
        <f>πνκΈξοδα[[#This Row],[Αυγ]]/πνκΈξοδα[[#Totals],[Αυγ]]</f>
        <v>5.5319148936170209E-2</v>
      </c>
      <c r="Z18" s="37">
        <f>πνκΈξοδα[[#This Row],[Σεπ]]/πνκΈξοδα[[#Totals],[Σεπ]]</f>
        <v>1.3043478260869565E-2</v>
      </c>
      <c r="AA18" s="37">
        <f>πνκΈξοδα[[#This Row],[Οκτ]]/πνκΈξοδα[[#Totals],[Οκτ]]</f>
        <v>2.3166023166023165E-2</v>
      </c>
      <c r="AB18" s="37">
        <f>πνκΈξοδα[[#This Row],[Νοε]]/πνκΈξοδα[[#Totals],[Νοε]]</f>
        <v>3.3783783783783786E-2</v>
      </c>
      <c r="AC18" s="37">
        <f>πνκΈξοδα[[#This Row],[Δεκ]]/πνκΈξοδα[[#Totals],[Δεκ]]</f>
        <v>5.627705627705628E-2</v>
      </c>
      <c r="AD18" s="37">
        <f>πνκΈξοδα[[#This Row],[Ετήσια]]/πνκΈξοδα[[#Totals],[Ετήσια]]</f>
        <v>3.9679893297765924E-2</v>
      </c>
    </row>
    <row r="19" spans="1:30" ht="30" customHeight="1" x14ac:dyDescent="0.2">
      <c r="B19" s="26" t="s">
        <v>50</v>
      </c>
      <c r="C19" s="35" t="s">
        <v>55</v>
      </c>
      <c r="D19" s="11">
        <v>8</v>
      </c>
      <c r="E19" s="11">
        <v>7</v>
      </c>
      <c r="F19" s="11">
        <v>6</v>
      </c>
      <c r="G19" s="11">
        <v>7</v>
      </c>
      <c r="H19" s="11">
        <v>7</v>
      </c>
      <c r="I19" s="11">
        <v>6</v>
      </c>
      <c r="J19" s="11">
        <v>15</v>
      </c>
      <c r="K19" s="11">
        <v>23</v>
      </c>
      <c r="L19" s="11">
        <v>21</v>
      </c>
      <c r="M19" s="11">
        <v>16</v>
      </c>
      <c r="N19" s="11">
        <v>19</v>
      </c>
      <c r="O19" s="11">
        <v>7</v>
      </c>
      <c r="P19" s="36">
        <f>SUM(πνκΈξοδα[[#This Row],[Στήλη1]:[Δεκ]])</f>
        <v>142</v>
      </c>
      <c r="Q19" s="12">
        <v>0.01</v>
      </c>
      <c r="R19" s="37">
        <f>πνκΈξοδα[[#This Row],[Στήλη1]]/πνκΈξοδα[[#Totals],[Στήλη1]]</f>
        <v>3.3898305084745763E-2</v>
      </c>
      <c r="S19" s="37">
        <f>πνκΈξοδα[[#This Row],[Φεβ]]/πνκΈξοδα[[#Totals],[Φεβ]]</f>
        <v>3.4146341463414637E-2</v>
      </c>
      <c r="T19" s="37">
        <f>πνκΈξοδα[[#This Row],[Μαρ]]/πνκΈξοδα[[#Totals],[Μαρ]]</f>
        <v>2.4096385542168676E-2</v>
      </c>
      <c r="U19" s="37">
        <f>πνκΈξοδα[[#This Row],[Απρ]]/πνκΈξοδα[[#Totals],[Απρ]]</f>
        <v>2.681992337164751E-2</v>
      </c>
      <c r="V19" s="37">
        <f>πνκΈξοδα[[#This Row],[Μαϊ]]/πνκΈξοδα[[#Totals],[Μαϊ]]</f>
        <v>2.7237354085603113E-2</v>
      </c>
      <c r="W19" s="37">
        <f>πνκΈξοδα[[#This Row],[Ιουν]]/πνκΈξοδα[[#Totals],[Ιουν]]</f>
        <v>2.1897810218978103E-2</v>
      </c>
      <c r="X19" s="37">
        <f>πνκΈξοδα[[#This Row],[Ιουλ]]/πνκΈξοδα[[#Totals],[Ιουλ]]</f>
        <v>5.6390977443609019E-2</v>
      </c>
      <c r="Y19" s="37">
        <f>πνκΈξοδα[[#This Row],[Αυγ]]/πνκΈξοδα[[#Totals],[Αυγ]]</f>
        <v>9.7872340425531917E-2</v>
      </c>
      <c r="Z19" s="37">
        <f>πνκΈξοδα[[#This Row],[Σεπ]]/πνκΈξοδα[[#Totals],[Σεπ]]</f>
        <v>9.1304347826086957E-2</v>
      </c>
      <c r="AA19" s="37">
        <f>πνκΈξοδα[[#This Row],[Οκτ]]/πνκΈξοδα[[#Totals],[Οκτ]]</f>
        <v>6.1776061776061778E-2</v>
      </c>
      <c r="AB19" s="37">
        <f>πνκΈξοδα[[#This Row],[Νοε]]/πνκΈξοδα[[#Totals],[Νοε]]</f>
        <v>6.4189189189189186E-2</v>
      </c>
      <c r="AC19" s="37">
        <f>πνκΈξοδα[[#This Row],[Δεκ]]/πνκΈξοδα[[#Totals],[Δεκ]]</f>
        <v>3.0303030303030304E-2</v>
      </c>
      <c r="AD19" s="37">
        <f>πνκΈξοδα[[#This Row],[Ετήσια]]/πνκΈξοδα[[#Totals],[Ετήσια]]</f>
        <v>4.7349116372124044E-2</v>
      </c>
    </row>
    <row r="20" spans="1:30" ht="30" customHeight="1" x14ac:dyDescent="0.2">
      <c r="B20" s="26" t="s">
        <v>51</v>
      </c>
      <c r="C20" s="35" t="s">
        <v>55</v>
      </c>
      <c r="D20" s="11">
        <v>14</v>
      </c>
      <c r="E20" s="11">
        <v>4</v>
      </c>
      <c r="F20" s="11">
        <v>24</v>
      </c>
      <c r="G20" s="11">
        <v>6</v>
      </c>
      <c r="H20" s="11">
        <v>20</v>
      </c>
      <c r="I20" s="11">
        <v>14</v>
      </c>
      <c r="J20" s="11">
        <v>21</v>
      </c>
      <c r="K20" s="11">
        <v>20</v>
      </c>
      <c r="L20" s="11">
        <v>22</v>
      </c>
      <c r="M20" s="11">
        <v>3</v>
      </c>
      <c r="N20" s="11">
        <v>14</v>
      </c>
      <c r="O20" s="11">
        <v>6</v>
      </c>
      <c r="P20" s="36">
        <f>SUM(πνκΈξοδα[[#This Row],[Στήλη1]:[Δεκ]])</f>
        <v>168</v>
      </c>
      <c r="Q20" s="12">
        <v>0.01</v>
      </c>
      <c r="R20" s="37">
        <f>πνκΈξοδα[[#This Row],[Στήλη1]]/πνκΈξοδα[[#Totals],[Στήλη1]]</f>
        <v>5.9322033898305086E-2</v>
      </c>
      <c r="S20" s="37">
        <f>πνκΈξοδα[[#This Row],[Φεβ]]/πνκΈξοδα[[#Totals],[Φεβ]]</f>
        <v>1.9512195121951219E-2</v>
      </c>
      <c r="T20" s="37">
        <f>πνκΈξοδα[[#This Row],[Μαρ]]/πνκΈξοδα[[#Totals],[Μαρ]]</f>
        <v>9.6385542168674704E-2</v>
      </c>
      <c r="U20" s="37">
        <f>πνκΈξοδα[[#This Row],[Απρ]]/πνκΈξοδα[[#Totals],[Απρ]]</f>
        <v>2.2988505747126436E-2</v>
      </c>
      <c r="V20" s="37">
        <f>πνκΈξοδα[[#This Row],[Μαϊ]]/πνκΈξοδα[[#Totals],[Μαϊ]]</f>
        <v>7.7821011673151752E-2</v>
      </c>
      <c r="W20" s="37">
        <f>πνκΈξοδα[[#This Row],[Ιουν]]/πνκΈξοδα[[#Totals],[Ιουν]]</f>
        <v>5.1094890510948905E-2</v>
      </c>
      <c r="X20" s="37">
        <f>πνκΈξοδα[[#This Row],[Ιουλ]]/πνκΈξοδα[[#Totals],[Ιουλ]]</f>
        <v>7.8947368421052627E-2</v>
      </c>
      <c r="Y20" s="37">
        <f>πνκΈξοδα[[#This Row],[Αυγ]]/πνκΈξοδα[[#Totals],[Αυγ]]</f>
        <v>8.5106382978723402E-2</v>
      </c>
      <c r="Z20" s="37">
        <f>πνκΈξοδα[[#This Row],[Σεπ]]/πνκΈξοδα[[#Totals],[Σεπ]]</f>
        <v>9.5652173913043481E-2</v>
      </c>
      <c r="AA20" s="37">
        <f>πνκΈξοδα[[#This Row],[Οκτ]]/πνκΈξοδα[[#Totals],[Οκτ]]</f>
        <v>1.1583011583011582E-2</v>
      </c>
      <c r="AB20" s="37">
        <f>πνκΈξοδα[[#This Row],[Νοε]]/πνκΈξοδα[[#Totals],[Νοε]]</f>
        <v>4.72972972972973E-2</v>
      </c>
      <c r="AC20" s="37">
        <f>πνκΈξοδα[[#This Row],[Δεκ]]/πνκΈξοδα[[#Totals],[Δεκ]]</f>
        <v>2.5974025974025976E-2</v>
      </c>
      <c r="AD20" s="37">
        <f>πνκΈξοδα[[#This Row],[Ετήσια]]/πνκΈξοδα[[#Totals],[Ετήσια]]</f>
        <v>5.6018672890963656E-2</v>
      </c>
    </row>
    <row r="21" spans="1:30" ht="30" customHeight="1" x14ac:dyDescent="0.2">
      <c r="B21" s="26" t="s">
        <v>51</v>
      </c>
      <c r="C21" s="35" t="s">
        <v>55</v>
      </c>
      <c r="D21" s="11">
        <v>14</v>
      </c>
      <c r="E21" s="11">
        <v>7</v>
      </c>
      <c r="F21" s="11">
        <v>24</v>
      </c>
      <c r="G21" s="11">
        <v>10</v>
      </c>
      <c r="H21" s="11">
        <v>7</v>
      </c>
      <c r="I21" s="11">
        <v>24</v>
      </c>
      <c r="J21" s="11">
        <v>2</v>
      </c>
      <c r="K21" s="11">
        <v>11</v>
      </c>
      <c r="L21" s="11">
        <v>21</v>
      </c>
      <c r="M21" s="11">
        <v>19</v>
      </c>
      <c r="N21" s="11">
        <v>19</v>
      </c>
      <c r="O21" s="11">
        <v>20</v>
      </c>
      <c r="P21" s="36">
        <f>SUM(πνκΈξοδα[[#This Row],[Στήλη1]:[Δεκ]])</f>
        <v>178</v>
      </c>
      <c r="Q21" s="12">
        <v>0.01</v>
      </c>
      <c r="R21" s="37">
        <f>πνκΈξοδα[[#This Row],[Στήλη1]]/πνκΈξοδα[[#Totals],[Στήλη1]]</f>
        <v>5.9322033898305086E-2</v>
      </c>
      <c r="S21" s="37">
        <f>πνκΈξοδα[[#This Row],[Φεβ]]/πνκΈξοδα[[#Totals],[Φεβ]]</f>
        <v>3.4146341463414637E-2</v>
      </c>
      <c r="T21" s="37">
        <f>πνκΈξοδα[[#This Row],[Μαρ]]/πνκΈξοδα[[#Totals],[Μαρ]]</f>
        <v>9.6385542168674704E-2</v>
      </c>
      <c r="U21" s="37">
        <f>πνκΈξοδα[[#This Row],[Απρ]]/πνκΈξοδα[[#Totals],[Απρ]]</f>
        <v>3.8314176245210725E-2</v>
      </c>
      <c r="V21" s="37">
        <f>πνκΈξοδα[[#This Row],[Μαϊ]]/πνκΈξοδα[[#Totals],[Μαϊ]]</f>
        <v>2.7237354085603113E-2</v>
      </c>
      <c r="W21" s="37">
        <f>πνκΈξοδα[[#This Row],[Ιουν]]/πνκΈξοδα[[#Totals],[Ιουν]]</f>
        <v>8.7591240875912413E-2</v>
      </c>
      <c r="X21" s="37">
        <f>πνκΈξοδα[[#This Row],[Ιουλ]]/πνκΈξοδα[[#Totals],[Ιουλ]]</f>
        <v>7.5187969924812026E-3</v>
      </c>
      <c r="Y21" s="37">
        <f>πνκΈξοδα[[#This Row],[Αυγ]]/πνκΈξοδα[[#Totals],[Αυγ]]</f>
        <v>4.6808510638297871E-2</v>
      </c>
      <c r="Z21" s="37">
        <f>πνκΈξοδα[[#This Row],[Σεπ]]/πνκΈξοδα[[#Totals],[Σεπ]]</f>
        <v>9.1304347826086957E-2</v>
      </c>
      <c r="AA21" s="37">
        <f>πνκΈξοδα[[#This Row],[Οκτ]]/πνκΈξοδα[[#Totals],[Οκτ]]</f>
        <v>7.3359073359073365E-2</v>
      </c>
      <c r="AB21" s="37">
        <f>πνκΈξοδα[[#This Row],[Νοε]]/πνκΈξοδα[[#Totals],[Νοε]]</f>
        <v>6.4189189189189186E-2</v>
      </c>
      <c r="AC21" s="37">
        <f>πνκΈξοδα[[#This Row],[Δεκ]]/πνκΈξοδα[[#Totals],[Δεκ]]</f>
        <v>8.6580086580086577E-2</v>
      </c>
      <c r="AD21" s="37">
        <f>πνκΈξοδα[[#This Row],[Ετήσια]]/πνκΈξοδα[[#Totals],[Ετήσια]]</f>
        <v>5.9353117705901966E-2</v>
      </c>
    </row>
    <row r="22" spans="1:30" ht="30" customHeight="1" x14ac:dyDescent="0.2">
      <c r="A22" s="38"/>
      <c r="B22" s="26" t="s">
        <v>51</v>
      </c>
      <c r="C22" s="35" t="s">
        <v>55</v>
      </c>
      <c r="D22" s="11">
        <v>11</v>
      </c>
      <c r="E22" s="11">
        <v>8</v>
      </c>
      <c r="F22" s="11">
        <v>25</v>
      </c>
      <c r="G22" s="11">
        <v>11</v>
      </c>
      <c r="H22" s="11">
        <v>9</v>
      </c>
      <c r="I22" s="11">
        <v>24</v>
      </c>
      <c r="J22" s="11">
        <v>13</v>
      </c>
      <c r="K22" s="11">
        <v>14</v>
      </c>
      <c r="L22" s="11">
        <v>19</v>
      </c>
      <c r="M22" s="11">
        <v>24</v>
      </c>
      <c r="N22" s="11">
        <v>15</v>
      </c>
      <c r="O22" s="11">
        <v>7</v>
      </c>
      <c r="P22" s="36">
        <f>SUM(πνκΈξοδα[[#This Row],[Στήλη1]:[Δεκ]])</f>
        <v>180</v>
      </c>
      <c r="Q22" s="12">
        <v>0.01</v>
      </c>
      <c r="R22" s="37">
        <f>πνκΈξοδα[[#This Row],[Στήλη1]]/πνκΈξοδα[[#Totals],[Στήλη1]]</f>
        <v>4.6610169491525424E-2</v>
      </c>
      <c r="S22" s="37">
        <f>πνκΈξοδα[[#This Row],[Φεβ]]/πνκΈξοδα[[#Totals],[Φεβ]]</f>
        <v>3.9024390243902439E-2</v>
      </c>
      <c r="T22" s="37">
        <f>πνκΈξοδα[[#This Row],[Μαρ]]/πνκΈξοδα[[#Totals],[Μαρ]]</f>
        <v>0.10040160642570281</v>
      </c>
      <c r="U22" s="37">
        <f>πνκΈξοδα[[#This Row],[Απρ]]/πνκΈξοδα[[#Totals],[Απρ]]</f>
        <v>4.2145593869731802E-2</v>
      </c>
      <c r="V22" s="37">
        <f>πνκΈξοδα[[#This Row],[Μαϊ]]/πνκΈξοδα[[#Totals],[Μαϊ]]</f>
        <v>3.5019455252918288E-2</v>
      </c>
      <c r="W22" s="37">
        <f>πνκΈξοδα[[#This Row],[Ιουν]]/πνκΈξοδα[[#Totals],[Ιουν]]</f>
        <v>8.7591240875912413E-2</v>
      </c>
      <c r="X22" s="37">
        <f>πνκΈξοδα[[#This Row],[Ιουλ]]/πνκΈξοδα[[#Totals],[Ιουλ]]</f>
        <v>4.8872180451127817E-2</v>
      </c>
      <c r="Y22" s="37">
        <f>πνκΈξοδα[[#This Row],[Αυγ]]/πνκΈξοδα[[#Totals],[Αυγ]]</f>
        <v>5.9574468085106386E-2</v>
      </c>
      <c r="Z22" s="37">
        <f>πνκΈξοδα[[#This Row],[Σεπ]]/πνκΈξοδα[[#Totals],[Σεπ]]</f>
        <v>8.2608695652173908E-2</v>
      </c>
      <c r="AA22" s="37">
        <f>πνκΈξοδα[[#This Row],[Οκτ]]/πνκΈξοδα[[#Totals],[Οκτ]]</f>
        <v>9.2664092664092659E-2</v>
      </c>
      <c r="AB22" s="37">
        <f>πνκΈξοδα[[#This Row],[Νοε]]/πνκΈξοδα[[#Totals],[Νοε]]</f>
        <v>5.0675675675675678E-2</v>
      </c>
      <c r="AC22" s="37">
        <f>πνκΈξοδα[[#This Row],[Δεκ]]/πνκΈξοδα[[#Totals],[Δεκ]]</f>
        <v>3.0303030303030304E-2</v>
      </c>
      <c r="AD22" s="37">
        <f>πνκΈξοδα[[#This Row],[Ετήσια]]/πνκΈξοδα[[#Totals],[Ετήσια]]</f>
        <v>6.0020006668889632E-2</v>
      </c>
    </row>
    <row r="23" spans="1:30" ht="30" customHeight="1" x14ac:dyDescent="0.2">
      <c r="A23" s="13"/>
      <c r="B23" s="26" t="s">
        <v>52</v>
      </c>
      <c r="C23" s="35" t="s">
        <v>55</v>
      </c>
      <c r="D23" s="11">
        <v>8</v>
      </c>
      <c r="E23" s="11">
        <v>20</v>
      </c>
      <c r="F23" s="11">
        <v>11</v>
      </c>
      <c r="G23" s="11">
        <v>11</v>
      </c>
      <c r="H23" s="11">
        <v>11</v>
      </c>
      <c r="I23" s="11">
        <v>20</v>
      </c>
      <c r="J23" s="11">
        <v>12</v>
      </c>
      <c r="K23" s="11">
        <v>16</v>
      </c>
      <c r="L23" s="11">
        <v>5</v>
      </c>
      <c r="M23" s="11">
        <v>7</v>
      </c>
      <c r="N23" s="11">
        <v>21</v>
      </c>
      <c r="O23" s="11">
        <v>3</v>
      </c>
      <c r="P23" s="36">
        <f>SUM(πνκΈξοδα[[#This Row],[Στήλη1]:[Δεκ]])</f>
        <v>145</v>
      </c>
      <c r="Q23" s="12">
        <v>0.02</v>
      </c>
      <c r="R23" s="37">
        <f>πνκΈξοδα[[#This Row],[Στήλη1]]/πνκΈξοδα[[#Totals],[Στήλη1]]</f>
        <v>3.3898305084745763E-2</v>
      </c>
      <c r="S23" s="37">
        <f>πνκΈξοδα[[#This Row],[Φεβ]]/πνκΈξοδα[[#Totals],[Φεβ]]</f>
        <v>9.7560975609756101E-2</v>
      </c>
      <c r="T23" s="37">
        <f>πνκΈξοδα[[#This Row],[Μαρ]]/πνκΈξοδα[[#Totals],[Μαρ]]</f>
        <v>4.4176706827309238E-2</v>
      </c>
      <c r="U23" s="37">
        <f>πνκΈξοδα[[#This Row],[Απρ]]/πνκΈξοδα[[#Totals],[Απρ]]</f>
        <v>4.2145593869731802E-2</v>
      </c>
      <c r="V23" s="37">
        <f>πνκΈξοδα[[#This Row],[Μαϊ]]/πνκΈξοδα[[#Totals],[Μαϊ]]</f>
        <v>4.2801556420233464E-2</v>
      </c>
      <c r="W23" s="37">
        <f>πνκΈξοδα[[#This Row],[Ιουν]]/πνκΈξοδα[[#Totals],[Ιουν]]</f>
        <v>7.2992700729927001E-2</v>
      </c>
      <c r="X23" s="37">
        <f>πνκΈξοδα[[#This Row],[Ιουλ]]/πνκΈξοδα[[#Totals],[Ιουλ]]</f>
        <v>4.5112781954887216E-2</v>
      </c>
      <c r="Y23" s="37">
        <f>πνκΈξοδα[[#This Row],[Αυγ]]/πνκΈξοδα[[#Totals],[Αυγ]]</f>
        <v>6.8085106382978725E-2</v>
      </c>
      <c r="Z23" s="37">
        <f>πνκΈξοδα[[#This Row],[Σεπ]]/πνκΈξοδα[[#Totals],[Σεπ]]</f>
        <v>2.1739130434782608E-2</v>
      </c>
      <c r="AA23" s="37">
        <f>πνκΈξοδα[[#This Row],[Οκτ]]/πνκΈξοδα[[#Totals],[Οκτ]]</f>
        <v>2.7027027027027029E-2</v>
      </c>
      <c r="AB23" s="37">
        <f>πνκΈξοδα[[#This Row],[Νοε]]/πνκΈξοδα[[#Totals],[Νοε]]</f>
        <v>7.0945945945945943E-2</v>
      </c>
      <c r="AC23" s="37">
        <f>πνκΈξοδα[[#This Row],[Δεκ]]/πνκΈξοδα[[#Totals],[Δεκ]]</f>
        <v>1.2987012987012988E-2</v>
      </c>
      <c r="AD23" s="37">
        <f>πνκΈξοδα[[#This Row],[Ετήσια]]/πνκΈξοδα[[#Totals],[Ετήσια]]</f>
        <v>4.8349449816605536E-2</v>
      </c>
    </row>
    <row r="24" spans="1:30" ht="30" customHeight="1" x14ac:dyDescent="0.2">
      <c r="B24" s="43" t="s">
        <v>53</v>
      </c>
      <c r="C24" s="48" t="s">
        <v>55</v>
      </c>
      <c r="D24" s="45">
        <f>SUBTOTAL(109,πνκΈξοδα[Στήλη1])</f>
        <v>236</v>
      </c>
      <c r="E24" s="45">
        <f>SUBTOTAL(109,πνκΈξοδα[Φεβ])</f>
        <v>205</v>
      </c>
      <c r="F24" s="45">
        <f>SUBTOTAL(109,πνκΈξοδα[Μαρ])</f>
        <v>249</v>
      </c>
      <c r="G24" s="45">
        <f>SUBTOTAL(109,πνκΈξοδα[Απρ])</f>
        <v>261</v>
      </c>
      <c r="H24" s="45">
        <f>SUBTOTAL(109,πνκΈξοδα[Μαϊ])</f>
        <v>257</v>
      </c>
      <c r="I24" s="45">
        <f>SUBTOTAL(109,πνκΈξοδα[Ιουν])</f>
        <v>274</v>
      </c>
      <c r="J24" s="45">
        <f>SUBTOTAL(109,πνκΈξοδα[Ιουλ])</f>
        <v>266</v>
      </c>
      <c r="K24" s="45">
        <f>SUBTOTAL(109,πνκΈξοδα[Αυγ])</f>
        <v>235</v>
      </c>
      <c r="L24" s="45">
        <f>SUBTOTAL(109,πνκΈξοδα[Σεπ])</f>
        <v>230</v>
      </c>
      <c r="M24" s="45">
        <f>SUBTOTAL(109,πνκΈξοδα[Οκτ])</f>
        <v>259</v>
      </c>
      <c r="N24" s="45">
        <f>SUBTOTAL(109,πνκΈξοδα[Νοε])</f>
        <v>296</v>
      </c>
      <c r="O24" s="45">
        <f>SUBTOTAL(109,πνκΈξοδα[Δεκ])</f>
        <v>231</v>
      </c>
      <c r="P24" s="45">
        <f>SUBTOTAL(109,πνκΈξοδα[Ετήσια])</f>
        <v>2999</v>
      </c>
      <c r="Q24" s="47">
        <f>SUBTOTAL(109,πνκΈξοδα[δείκτης %])</f>
        <v>1</v>
      </c>
      <c r="R24" s="47">
        <f>SUBTOTAL(109,πνκΈξοδα[Ιαν %])</f>
        <v>1</v>
      </c>
      <c r="S24" s="47">
        <f>SUBTOTAL(109,πνκΈξοδα[Φεβ %])</f>
        <v>1.0000000000000002</v>
      </c>
      <c r="T24" s="47">
        <f>SUBTOTAL(109,πνκΈξοδα[Μαρ %])</f>
        <v>1.0000000000000002</v>
      </c>
      <c r="U24" s="47">
        <f>SUBTOTAL(109,πνκΈξοδα[Απρ %])</f>
        <v>1</v>
      </c>
      <c r="V24" s="47">
        <f>SUBTOTAL(109,πνκΈξοδα[Μαϊ %])</f>
        <v>1.0000000000000002</v>
      </c>
      <c r="W24" s="47">
        <f>SUBTOTAL(109,πνκΈξοδα[Ιουν %])</f>
        <v>1</v>
      </c>
      <c r="X24" s="47">
        <f>SUBTOTAL(109,πνκΈξοδα[Ιουλ %])</f>
        <v>1</v>
      </c>
      <c r="Y24" s="47">
        <f>SUBTOTAL(109,πνκΈξοδα[Αυγ %])</f>
        <v>0.99999999999999989</v>
      </c>
      <c r="Z24" s="47">
        <f>SUBTOTAL(109,πνκΈξοδα[Σεπ %])</f>
        <v>1</v>
      </c>
      <c r="AA24" s="47">
        <f>SUBTOTAL(109,πνκΈξοδα[Οκτ %])</f>
        <v>1</v>
      </c>
      <c r="AB24" s="47">
        <f>SUBTOTAL(109,πνκΈξοδα[Νοε %])</f>
        <v>0.99999999999999989</v>
      </c>
      <c r="AC24" s="47">
        <f>SUBTOTAL(109,πνκΈξοδα[Δεκ %])</f>
        <v>1</v>
      </c>
      <c r="AD24" s="47">
        <f>SUBTOTAL(109,πνκΈξοδα[έτους %])</f>
        <v>0.99999999999999989</v>
      </c>
    </row>
    <row r="25" spans="1:30" ht="30" customHeight="1" x14ac:dyDescent="0.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30" customHeight="1" x14ac:dyDescent="0.2">
      <c r="B26" s="17" t="s">
        <v>54</v>
      </c>
      <c r="C26" s="17"/>
      <c r="D26" s="18">
        <f>'Κόστος πωλήσεων'!$D$14-πνκΈξοδα[[#Totals],[Στήλη1]]</f>
        <v>123</v>
      </c>
      <c r="E26" s="18">
        <f>'Κόστος πωλήσεων'!$E14-πνκΈξοδα[[#Totals],[Φεβ]]</f>
        <v>175</v>
      </c>
      <c r="F26" s="18">
        <f>'Κόστος πωλήσεων'!$F14-πνκΈξοδα[[#Totals],[Μαρ]]</f>
        <v>256</v>
      </c>
      <c r="G26" s="18">
        <f>'Κόστος πωλήσεων'!$G14-πνκΈξοδα[[#Totals],[Απρ]]</f>
        <v>109</v>
      </c>
      <c r="H26" s="18">
        <f>'Κόστος πωλήσεων'!$H14-πνκΈξοδα[[#Totals],[Μαϊ]]</f>
        <v>156</v>
      </c>
      <c r="I26" s="18">
        <f>'Κόστος πωλήσεων'!$I14-πνκΈξοδα[[#Totals],[Ιουν]]</f>
        <v>-8</v>
      </c>
      <c r="J26" s="18">
        <f>'Κόστος πωλήσεων'!$J14-πνκΈξοδα[[#Totals],[Ιουλ]]</f>
        <v>32</v>
      </c>
      <c r="K26" s="18">
        <f>'Κόστος πωλήσεων'!$K14-πνκΈξοδα[[#Totals],[Αυγ]]</f>
        <v>214</v>
      </c>
      <c r="L26" s="18">
        <f>'Κόστος πωλήσεων'!$L14-πνκΈξοδα[[#Totals],[Σεπ]]</f>
        <v>100</v>
      </c>
      <c r="M26" s="18">
        <f>'Κόστος πωλήσεων'!$M14-πνκΈξοδα[[#Totals],[Οκτ]]</f>
        <v>148</v>
      </c>
      <c r="N26" s="18">
        <f>'Κόστος πωλήσεων'!$N14-πνκΈξοδα[[#Totals],[Νοε]]</f>
        <v>179</v>
      </c>
      <c r="O26" s="18">
        <f>'Κόστος πωλήσεων'!$O14-πνκΈξοδα[[#Totals],[Δεκ]]</f>
        <v>359</v>
      </c>
      <c r="P26" s="18">
        <f>SUM(D26:O26)</f>
        <v>1843</v>
      </c>
      <c r="Q26" s="17"/>
      <c r="R26" s="19">
        <f>D26/$P$26</f>
        <v>6.6739012479652735E-2</v>
      </c>
      <c r="S26" s="19">
        <f t="shared" ref="S26:AD26" si="1">E26/$P$26</f>
        <v>9.4953879544221381E-2</v>
      </c>
      <c r="T26" s="19">
        <f t="shared" si="1"/>
        <v>0.13890396093326099</v>
      </c>
      <c r="U26" s="19">
        <f t="shared" si="1"/>
        <v>5.9142702116115033E-2</v>
      </c>
      <c r="V26" s="19">
        <f t="shared" si="1"/>
        <v>8.4644601193705912E-2</v>
      </c>
      <c r="W26" s="19">
        <f t="shared" si="1"/>
        <v>-4.3407487791644059E-3</v>
      </c>
      <c r="X26" s="19">
        <f t="shared" si="1"/>
        <v>1.7362995116657624E-2</v>
      </c>
      <c r="Y26" s="19">
        <f t="shared" si="1"/>
        <v>0.11611502984264786</v>
      </c>
      <c r="Z26" s="19">
        <f t="shared" si="1"/>
        <v>5.425935973955507E-2</v>
      </c>
      <c r="AA26" s="19">
        <f t="shared" si="1"/>
        <v>8.0303852414541507E-2</v>
      </c>
      <c r="AB26" s="19">
        <f t="shared" si="1"/>
        <v>9.7124253933803584E-2</v>
      </c>
      <c r="AC26" s="19">
        <f t="shared" si="1"/>
        <v>0.19479110146500273</v>
      </c>
      <c r="AD26" s="19">
        <f t="shared" si="1"/>
        <v>1</v>
      </c>
    </row>
  </sheetData>
  <dataValidations count="19">
    <dataValidation allowBlank="1" showInputMessage="1" showErrorMessage="1" prompt="Η επωνυμία της εταιρείας ενημερώνεται αυτόματα από την καταχώρηση στο φύλλο Έσοδα (Πωλήσεις)" sqref="AD1"/>
    <dataValidation allowBlank="1" showInputMessage="1" showErrorMessage="1" prompt="Ο τίτλος ενημερώνεται αυτόματα από το φύλλο εργασίας Έσοδα (Πωλήσεις). Εισαγάγετε τιμές στον πίνακα Έξοδα παρακάτω για να υπολογίσετε τα συνολικά έξοδα" sqref="B2"/>
    <dataValidation allowBlank="1" showInputMessage="1" showErrorMessage="1" prompt="Εισαγάγετε τον ποσοστιαίο δείκτη σε αυτή τη στήλη" sqref="Q4"/>
    <dataValidation allowBlank="1" showInputMessage="1" showErrorMessage="1" prompt="Το καθαρό κέρδος υπολογίζεται αυτόματα για κάθε μήνα και έτος με βάση τα μικτά κέρδη και τα συνολικά έξοδα" sqref="B26"/>
    <dataValidation allowBlank="1" showInputMessage="1" showErrorMessage="1" prompt="Εισαγάγετε τις πηγές εξόδων που παρατίθενται στη στήλη B, σε αυτή τη στήλη" sqref="D4"/>
    <dataValidation allowBlank="1" showInputMessage="1" showErrorMessage="1" prompt="Σε αυτή τη στήλη υπάρχει ένα γράφημα τάσεων για τα έξοδα στη διάρκεια του χρόνου" sqref="C4"/>
    <dataValidation allowBlank="1" showInputMessage="1" showErrorMessage="1" prompt="Εισαγάγετε έξοδα σε αυτή τη στήλη" sqref="B4"/>
    <dataValidation allowBlank="1" showInputMessage="1" showErrorMessage="1" prompt="Υπολογίζει αυτόματα το ποσοστό των εξόδων από διαφορετικές πηγές ως προς τα συνολικά έξοδα για το έτος σε αυτή τη στήλη" sqref="AD3"/>
    <dataValidation allowBlank="1" showInputMessage="1" showErrorMessage="1" prompt="Υπολογίζει αυτόματα το ποσοστό των εξόδων από διαφορετικές πηγές ως προς τα συνολικά έξοδα σε αυτή τη στήλη, για το μήνα σε αυτό το κελί" sqref="R3:AC3"/>
    <dataValidation allowBlank="1" showInputMessage="1" showErrorMessage="1" prompt="Αυτόματα ενημερωμένος μήνας" sqref="E3:O3"/>
    <dataValidation allowBlank="1" showInputMessage="1" showErrorMessage="1" prompt="Οι ημερομηνίες σε αυτή τη γραμμή ενημερώνονται αυτόματα με βάση το μήνα έναρξης του οικονομικού έτους. Για να αλλάξετε το μήνα έναρξης, τροποποιήστε το κελί AC2" sqref="D3"/>
    <dataValidation allowBlank="1" showInputMessage="1" showErrorMessage="1" prompt="Σε αυτή τη στήλη υπολογίζονται αυτόματα τα ετήσια έξοδα" sqref="P3"/>
    <dataValidation allowBlank="1" showInputMessage="1" showErrorMessage="1" prompt="Σε αυτή τη στήλη βρίσκεται ο ποσοστιαίος δείκτης" sqref="Q3"/>
    <dataValidation allowBlank="1" showInputMessage="1" showErrorMessage="1" prompt="Αυτό το κελί ενημερώνεται αυτόματα από τον τίτλο περιόδου προβολής στο φύλλο εργασίας Έσοδα (Πωλήσεις)" sqref="B1"/>
    <dataValidation allowBlank="1" showInputMessage="1" showErrorMessage="1" prompt="Ο μήνας και το έτος ενημερώνονται αυτόματα στα κελιά στα δεξιά. Για να αλλάξετε το μήνα ή το έτος, τροποποιήστε τα κελιά AC2 και AD2 στο φύλλο εργασίας Έσοδα (Πωλήσεις)" sqref="AB2"/>
    <dataValidation allowBlank="1" showInputMessage="1" showErrorMessage="1" prompt="Αυτόματα ενημερωμένος μήνας. Για να αλλάξετε, τροποποιήστε το κελί AC2 στο φύλλο Έσοδα (Πωλήσεις)" sqref="AC2"/>
    <dataValidation allowBlank="1" showInputMessage="1" showErrorMessage="1" prompt="Αυτόματα ενημερωμένο έτος. Για να αλλάξετε, τροποποιήστε το κελί AD2 στο φύλλο Έσοδα (Πωλήσεις)" sqref="AD2"/>
    <dataValidation allowBlank="1" showInputMessage="1" showErrorMessage="1" prompt="Εισαγάγετε τα έσοδα για τις πηγές που παρατίθενται στη στήλη B, σε αυτή τη στήλη" sqref="E4:O4"/>
    <dataValidation allowBlank="1" showInputMessage="1" showErrorMessage="1" prompt="Αυτό το φύλλο εργασίας υπολογίζει τα συνολικά έξοδα για κάθε μήνα και έτος, καθώς και τα συνολικά ετήσια έξοδα για κάθε είδος. Το καθαρό κέρδος υπολογίζεται αυτόματα με βάση τα μικτά κέρδη και τα συνολικά έξοδα " sqref="A1:A1048576"/>
  </dataValidations>
  <printOptions horizontalCentered="1"/>
  <pageMargins left="0.25" right="0.25" top="0.75" bottom="0.75" header="0.3" footer="0.3"/>
  <pageSetup paperSize="9" scale="48" fitToHeight="0" orientation="landscape" r:id="rId1"/>
  <headerFooter differentFirst="1">
    <oddFooter>Page &amp;P of &amp;N</oddFooter>
  </headerFooter>
  <legacyDrawing r:id="rId2"/>
  <tableParts count="1">
    <tablePart r:id="rId3"/>
  </tableParts>
  <extLst>
    <ext xmlns:x14="http://schemas.microsoft.com/office/spreadsheetml/2009/9/main" uri="{05C60535-1F16-4fd2-B633-F4F36F0B64E0}">
      <x14:sparklineGroups xmlns:xm="http://schemas.microsoft.com/office/excel/2006/main">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Έξοδα!D24:O24</xm:f>
              <xm:sqref>C24</xm:sqref>
            </x14:sparkline>
          </x14:sparklines>
        </x14:sparklineGroup>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Έξοδα!D5:O5</xm:f>
              <xm:sqref>C5</xm:sqref>
            </x14:sparkline>
            <x14:sparkline>
              <xm:f>Έξοδα!D6:O6</xm:f>
              <xm:sqref>C6</xm:sqref>
            </x14:sparkline>
            <x14:sparkline>
              <xm:f>Έξοδα!D7:O7</xm:f>
              <xm:sqref>C7</xm:sqref>
            </x14:sparkline>
            <x14:sparkline>
              <xm:f>Έξοδα!D8:O8</xm:f>
              <xm:sqref>C8</xm:sqref>
            </x14:sparkline>
            <x14:sparkline>
              <xm:f>Έξοδα!D9:O9</xm:f>
              <xm:sqref>C9</xm:sqref>
            </x14:sparkline>
            <x14:sparkline>
              <xm:f>Έξοδα!D10:O10</xm:f>
              <xm:sqref>C10</xm:sqref>
            </x14:sparkline>
            <x14:sparkline>
              <xm:f>Έξοδα!D11:O11</xm:f>
              <xm:sqref>C11</xm:sqref>
            </x14:sparkline>
            <x14:sparkline>
              <xm:f>Έξοδα!D12:O12</xm:f>
              <xm:sqref>C12</xm:sqref>
            </x14:sparkline>
            <x14:sparkline>
              <xm:f>Έξοδα!D13:O13</xm:f>
              <xm:sqref>C13</xm:sqref>
            </x14:sparkline>
            <x14:sparkline>
              <xm:f>Έξοδα!D14:O14</xm:f>
              <xm:sqref>C14</xm:sqref>
            </x14:sparkline>
            <x14:sparkline>
              <xm:f>Έξοδα!D15:O15</xm:f>
              <xm:sqref>C15</xm:sqref>
            </x14:sparkline>
            <x14:sparkline>
              <xm:f>Έξοδα!D16:O16</xm:f>
              <xm:sqref>C16</xm:sqref>
            </x14:sparkline>
            <x14:sparkline>
              <xm:f>Έξοδα!D17:O17</xm:f>
              <xm:sqref>C17</xm:sqref>
            </x14:sparkline>
            <x14:sparkline>
              <xm:f>Έξοδα!D18:O18</xm:f>
              <xm:sqref>C18</xm:sqref>
            </x14:sparkline>
            <x14:sparkline>
              <xm:f>Έξοδα!D19:O19</xm:f>
              <xm:sqref>C19</xm:sqref>
            </x14:sparkline>
            <x14:sparkline>
              <xm:f>Έξοδα!D20:O20</xm:f>
              <xm:sqref>C20</xm:sqref>
            </x14:sparkline>
            <x14:sparkline>
              <xm:f>Έξοδα!D21:O21</xm:f>
              <xm:sqref>C21</xm:sqref>
            </x14:sparkline>
            <x14:sparkline>
              <xm:f>Έξοδα!D22:O22</xm:f>
              <xm:sqref>C22</xm:sqref>
            </x14:sparkline>
            <x14:sparkline>
              <xm:f>Έξοδα!D23:O23</xm:f>
              <xm:sqref>C23</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11</vt:i4>
      </vt:variant>
    </vt:vector>
  </HeadingPairs>
  <TitlesOfParts>
    <vt:vector size="14" baseType="lpstr">
      <vt:lpstr>Έσοδα (Πωλήσεις)</vt:lpstr>
      <vt:lpstr>Κόστος πωλήσεων</vt:lpstr>
      <vt:lpstr>Έξοδα</vt:lpstr>
      <vt:lpstr>Έξοδα!Print_Titles</vt:lpstr>
      <vt:lpstr>'Έσοδα (Πωλήσεις)'!Print_Titles</vt:lpstr>
      <vt:lpstr>'Κόστος πωλήσεων'!Print_Titles</vt:lpstr>
      <vt:lpstr>Επωνυμία_εταιρείας</vt:lpstr>
      <vt:lpstr>ΈτοςΈναρξηςΟΕ</vt:lpstr>
      <vt:lpstr>ΜήναςΈναρξηςΟΕ</vt:lpstr>
      <vt:lpstr>Τίτλος_Περιόδου_Προβολής</vt:lpstr>
      <vt:lpstr>Τίτλος_ΦυλΕργ</vt:lpstr>
      <vt:lpstr>Τίτλος1</vt:lpstr>
      <vt:lpstr>Τίτλος2</vt:lpstr>
      <vt:lpstr>Τίτλος3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2016-12-06T05:59:57Z</dcterms:created>
  <dcterms:modified xsi:type="dcterms:W3CDTF">2017-07-26T08:44:22Z</dcterms:modified>
</cp:coreProperties>
</file>