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1\"/>
    </mc:Choice>
  </mc:AlternateContent>
  <xr:revisionPtr revIDLastSave="0" documentId="13_ncr:1_{ADAEB791-5C52-457F-BCEA-5CC5280F931C}" xr6:coauthVersionLast="45" xr6:coauthVersionMax="45" xr10:uidLastSave="{00000000-0000-0000-0000-000000000000}"/>
  <bookViews>
    <workbookView xWindow="-120" yWindow="-120" windowWidth="28830" windowHeight="16185" tabRatio="741" xr2:uid="{00000000-000D-0000-FFFF-FFFF00000000}"/>
  </bookViews>
  <sheets>
    <sheet name="Ιαν" sheetId="1" r:id="rId1"/>
    <sheet name="Φεβ" sheetId="6" r:id="rId2"/>
    <sheet name="Μάρ" sheetId="7" r:id="rId3"/>
    <sheet name="Απρ" sheetId="8" r:id="rId4"/>
    <sheet name="Μαϊ" sheetId="9" r:id="rId5"/>
    <sheet name="Ιουν" sheetId="10" r:id="rId6"/>
    <sheet name="Ιουλ" sheetId="11" r:id="rId7"/>
    <sheet name="Αυγ" sheetId="12" r:id="rId8"/>
    <sheet name="Σεπ" sheetId="13" r:id="rId9"/>
    <sheet name="Οκτ" sheetId="14" r:id="rId10"/>
    <sheet name="Νοε" sheetId="15" r:id="rId11"/>
    <sheet name="Δεκ" sheetId="16" r:id="rId12"/>
  </sheets>
  <definedNames>
    <definedName name="_1ηΚυρΑπρ">DATE(ΈτοςΗμερολογίου,4,1)-WEEKDAY(DATE(ΈτοςΗμερολογίου,4,1))+1</definedName>
    <definedName name="_1ηΚυρΑυγ">DATE(ΈτοςΗμερολογίου,8,1)-WEEKDAY(DATE(ΈτοςΗμερολογίου,8,1))+1</definedName>
    <definedName name="_1ηΚυρΔεκ">DATE(ΈτοςΗμερολογίου,12,1)-WEEKDAY(DATE(ΈτοςΗμερολογίου,12,1))+1</definedName>
    <definedName name="_1ηΚυρΙαν">DATE(ΈτοςΗμερολογίου,1,1)-WEEKDAY(DATE(ΈτοςΗμερολογίου,1,1))+1</definedName>
    <definedName name="_1ηΚυρΙουλ">DATE(ΈτοςΗμερολογίου,7,1)-WEEKDAY(DATE(ΈτοςΗμερολογίου,7,1))+1</definedName>
    <definedName name="_1ηΚυρΙουν">DATE(ΈτοςΗμερολογίου,6,1)-WEEKDAY(DATE(ΈτοςΗμερολογίου,6,1))+1</definedName>
    <definedName name="_1ηΚυρΜαϊ">DATE(ΈτοςΗμερολογίου,5,1)-WEEKDAY(DATE(ΈτοςΗμερολογίου,5,1))+1</definedName>
    <definedName name="_1ηΚυρΜαρ">DATE(ΈτοςΗμερολογίου,3,1)-WEEKDAY(DATE(ΈτοςΗμερολογίου,3,1))+1</definedName>
    <definedName name="_1ηΚυρΝοε">DATE(ΈτοςΗμερολογίου,11,1)-WEEKDAY(DATE(ΈτοςΗμερολογίου,11,1))+1</definedName>
    <definedName name="_1ηΚυρΟκτ">DATE(ΈτοςΗμερολογίου,10,1)-WEEKDAY(DATE(ΈτοςΗμερολογίου,10,1))+1</definedName>
    <definedName name="_1ηΚυρΣεπ">DATE(ΈτοςΗμερολογίου,9,1)-WEEKDAY(DATE(ΈτοςΗμερολογίου,9,1))+1</definedName>
    <definedName name="_1ηΚυρΦεβ">DATE(ΈτοςΗμερολογίου,2,1)-WEEKDAY(DATE(ΈτοςΗμερολογίου,2,1))+1</definedName>
    <definedName name="_xlnm.Print_Area" localSheetId="3">Απρ!$A$1:$N$33</definedName>
    <definedName name="_xlnm.Print_Area" localSheetId="7">Αυγ!$A$1:$N$33</definedName>
    <definedName name="_xlnm.Print_Area" localSheetId="11">Δεκ!$A$1:$N$33</definedName>
    <definedName name="_xlnm.Print_Area" localSheetId="0">Ιαν!$A$1:$N$33</definedName>
    <definedName name="_xlnm.Print_Area" localSheetId="6">Ιουλ!$A$1:$N$33</definedName>
    <definedName name="_xlnm.Print_Area" localSheetId="5">Ιουν!$A$1:$N$33</definedName>
    <definedName name="_xlnm.Print_Area" localSheetId="4">Μαϊ!$A$1:$N$33</definedName>
    <definedName name="_xlnm.Print_Area" localSheetId="2">Μάρ!$A$1:$N$33</definedName>
    <definedName name="_xlnm.Print_Area" localSheetId="10">Νοε!$A$1:$N$33</definedName>
    <definedName name="_xlnm.Print_Area" localSheetId="9">Οκτ!$A$1:$N$33</definedName>
    <definedName name="_xlnm.Print_Area" localSheetId="8">Σεπ!$A$1:$N$33</definedName>
    <definedName name="_xlnm.Print_Area" localSheetId="1">Φεβ!$A$1:$N$33</definedName>
    <definedName name="ΈτοςΗμερολογίου">Ιαν!$N$2</definedName>
    <definedName name="ΗμερομηνίεςΕργασιών" localSheetId="3">Απρ!$L$4:$L$33</definedName>
    <definedName name="ΗμερομηνίεςΕργασιών" localSheetId="7">Αυγ!$L$4:$L$33</definedName>
    <definedName name="ΗμερομηνίεςΕργασιών" localSheetId="11">Δεκ!$L$4:$L$33</definedName>
    <definedName name="ΗμερομηνίεςΕργασιών" localSheetId="6">Ιουλ!$L$4:$L$33</definedName>
    <definedName name="ΗμερομηνίεςΕργασιών" localSheetId="5">Ιουν!$L$4:$L$33</definedName>
    <definedName name="ΗμερομηνίεςΕργασιών" localSheetId="4">Μαϊ!$L$4:$L$33</definedName>
    <definedName name="ΗμερομηνίεςΕργασιών" localSheetId="2">Μάρ!$L$4:$L$33</definedName>
    <definedName name="ΗμερομηνίεςΕργασιών" localSheetId="10">Νοε!$L$4:$L$33</definedName>
    <definedName name="ΗμερομηνίεςΕργασιών" localSheetId="9">Οκτ!$L$4:$L$33</definedName>
    <definedName name="ΗμερομηνίεςΕργασιών" localSheetId="8">Σεπ!$L$4:$L$33</definedName>
    <definedName name="ΗμερομηνίεςΕργασιών" localSheetId="1">Φεβ!$L$4:$L$33</definedName>
    <definedName name="ΗμερομηνίεςΕργασιών">Ιαν!$L$4:$L$33</definedName>
    <definedName name="ΠίνακαςΣημαντικώνΗμερομηνιών" localSheetId="3">Απρ!$L$4:$M$8</definedName>
    <definedName name="ΠίνακαςΣημαντικώνΗμερομηνιών" localSheetId="7">Αυγ!$L$4:$M$8</definedName>
    <definedName name="ΠίνακαςΣημαντικώνΗμερομηνιών" localSheetId="11">Δεκ!$L$4:$M$8</definedName>
    <definedName name="ΠίνακαςΣημαντικώνΗμερομηνιών" localSheetId="6">Ιουλ!$L$4:$M$8</definedName>
    <definedName name="ΠίνακαςΣημαντικώνΗμερομηνιών" localSheetId="5">Ιουν!$L$4:$M$8</definedName>
    <definedName name="ΠίνακαςΣημαντικώνΗμερομηνιών" localSheetId="4">Μαϊ!$L$4:$M$8</definedName>
    <definedName name="ΠίνακαςΣημαντικώνΗμερομηνιών" localSheetId="2">Μάρ!$L$4:$M$8</definedName>
    <definedName name="ΠίνακαςΣημαντικώνΗμερομηνιών" localSheetId="10">Νοε!$L$4:$M$8</definedName>
    <definedName name="ΠίνακαςΣημαντικώνΗμερομηνιών" localSheetId="9">Οκτ!$L$4:$M$8</definedName>
    <definedName name="ΠίνακαςΣημαντικώνΗμερομηνιών" localSheetId="8">Σεπ!$L$4:$M$8</definedName>
    <definedName name="ΠίνακαςΣημαντικώνΗμερομηνιών" localSheetId="1">Φεβ!$L$4:$M$8</definedName>
    <definedName name="ΠίνακαςΣημαντικώνΗμερομηνιών">Ιαν!$L$4:$M$8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" i="7" l="1"/>
  <c r="N2" i="8"/>
  <c r="N2" i="9"/>
  <c r="N2" i="10"/>
  <c r="N2" i="11"/>
  <c r="N2" i="12"/>
  <c r="N2" i="13"/>
  <c r="N2" i="14"/>
  <c r="N2" i="15"/>
  <c r="N2" i="16"/>
  <c r="N2" i="6"/>
  <c r="I9" i="8"/>
  <c r="H9" i="8"/>
  <c r="G9" i="8"/>
  <c r="F9" i="8"/>
  <c r="E9" i="8"/>
  <c r="D9" i="8"/>
  <c r="C9" i="8"/>
  <c r="I8" i="8"/>
  <c r="H8" i="8"/>
  <c r="G8" i="8"/>
  <c r="F8" i="8"/>
  <c r="E8" i="8"/>
  <c r="D8" i="8"/>
  <c r="C8" i="8"/>
  <c r="I7" i="8"/>
  <c r="H7" i="8"/>
  <c r="G7" i="8"/>
  <c r="F7" i="8"/>
  <c r="E7" i="8"/>
  <c r="D7" i="8"/>
  <c r="C7" i="8"/>
  <c r="I6" i="8"/>
  <c r="H6" i="8"/>
  <c r="G6" i="8"/>
  <c r="F6" i="8"/>
  <c r="E6" i="8"/>
  <c r="D6" i="8"/>
  <c r="C6" i="8"/>
  <c r="I5" i="8"/>
  <c r="H5" i="8"/>
  <c r="G5" i="8"/>
  <c r="F5" i="8"/>
  <c r="E5" i="8"/>
  <c r="D5" i="8"/>
  <c r="C5" i="8"/>
  <c r="I4" i="8"/>
  <c r="H4" i="8"/>
  <c r="G4" i="8"/>
  <c r="F4" i="8"/>
  <c r="E4" i="8"/>
  <c r="D4" i="8"/>
  <c r="C4" i="8"/>
  <c r="I9" i="16"/>
  <c r="H9" i="16"/>
  <c r="G9" i="16"/>
  <c r="F9" i="16"/>
  <c r="E9" i="16"/>
  <c r="D9" i="16"/>
  <c r="C9" i="16"/>
  <c r="I8" i="16"/>
  <c r="H8" i="16"/>
  <c r="G8" i="16"/>
  <c r="F8" i="16"/>
  <c r="E8" i="16"/>
  <c r="D8" i="16"/>
  <c r="C8" i="16"/>
  <c r="I7" i="16"/>
  <c r="H7" i="16"/>
  <c r="G7" i="16"/>
  <c r="F7" i="16"/>
  <c r="E7" i="16"/>
  <c r="D7" i="16"/>
  <c r="C7" i="16"/>
  <c r="I6" i="16"/>
  <c r="H6" i="16"/>
  <c r="G6" i="16"/>
  <c r="F6" i="16"/>
  <c r="E6" i="16"/>
  <c r="D6" i="16"/>
  <c r="C6" i="16"/>
  <c r="I5" i="16"/>
  <c r="H5" i="16"/>
  <c r="G5" i="16"/>
  <c r="F5" i="16"/>
  <c r="E5" i="16"/>
  <c r="D5" i="16"/>
  <c r="C5" i="16"/>
  <c r="I4" i="16"/>
  <c r="H4" i="16"/>
  <c r="G4" i="16"/>
  <c r="F4" i="16"/>
  <c r="E4" i="16"/>
  <c r="D4" i="16"/>
  <c r="C4" i="16"/>
  <c r="I9" i="15"/>
  <c r="H9" i="15"/>
  <c r="G9" i="15"/>
  <c r="F9" i="15"/>
  <c r="E9" i="15"/>
  <c r="D9" i="15"/>
  <c r="C9" i="15"/>
  <c r="I8" i="15"/>
  <c r="H8" i="15"/>
  <c r="G8" i="15"/>
  <c r="F8" i="15"/>
  <c r="E8" i="15"/>
  <c r="D8" i="15"/>
  <c r="C8" i="15"/>
  <c r="I7" i="15"/>
  <c r="H7" i="15"/>
  <c r="G7" i="15"/>
  <c r="F7" i="15"/>
  <c r="E7" i="15"/>
  <c r="D7" i="15"/>
  <c r="C7" i="15"/>
  <c r="I6" i="15"/>
  <c r="H6" i="15"/>
  <c r="G6" i="15"/>
  <c r="F6" i="15"/>
  <c r="E6" i="15"/>
  <c r="D6" i="15"/>
  <c r="C6" i="15"/>
  <c r="I5" i="15"/>
  <c r="H5" i="15"/>
  <c r="G5" i="15"/>
  <c r="F5" i="15"/>
  <c r="E5" i="15"/>
  <c r="D5" i="15"/>
  <c r="C5" i="15"/>
  <c r="I4" i="15"/>
  <c r="H4" i="15"/>
  <c r="G4" i="15"/>
  <c r="F4" i="15"/>
  <c r="E4" i="15"/>
  <c r="D4" i="15"/>
  <c r="C4" i="15"/>
  <c r="I9" i="14"/>
  <c r="H9" i="14"/>
  <c r="G9" i="14"/>
  <c r="F9" i="14"/>
  <c r="E9" i="14"/>
  <c r="D9" i="14"/>
  <c r="C9" i="14"/>
  <c r="I8" i="14"/>
  <c r="H8" i="14"/>
  <c r="G8" i="14"/>
  <c r="F8" i="14"/>
  <c r="E8" i="14"/>
  <c r="D8" i="14"/>
  <c r="C8" i="14"/>
  <c r="I7" i="14"/>
  <c r="H7" i="14"/>
  <c r="G7" i="14"/>
  <c r="F7" i="14"/>
  <c r="E7" i="14"/>
  <c r="D7" i="14"/>
  <c r="C7" i="14"/>
  <c r="I6" i="14"/>
  <c r="H6" i="14"/>
  <c r="G6" i="14"/>
  <c r="F6" i="14"/>
  <c r="E6" i="14"/>
  <c r="D6" i="14"/>
  <c r="C6" i="14"/>
  <c r="I5" i="14"/>
  <c r="H5" i="14"/>
  <c r="G5" i="14"/>
  <c r="F5" i="14"/>
  <c r="E5" i="14"/>
  <c r="D5" i="14"/>
  <c r="C5" i="14"/>
  <c r="I4" i="14"/>
  <c r="H4" i="14"/>
  <c r="G4" i="14"/>
  <c r="F4" i="14"/>
  <c r="E4" i="14"/>
  <c r="D4" i="14"/>
  <c r="C4" i="14"/>
  <c r="I9" i="13"/>
  <c r="H9" i="13"/>
  <c r="G9" i="13"/>
  <c r="F9" i="13"/>
  <c r="E9" i="13"/>
  <c r="D9" i="13"/>
  <c r="C9" i="13"/>
  <c r="I8" i="13"/>
  <c r="H8" i="13"/>
  <c r="G8" i="13"/>
  <c r="F8" i="13"/>
  <c r="E8" i="13"/>
  <c r="D8" i="13"/>
  <c r="C8" i="13"/>
  <c r="I7" i="13"/>
  <c r="H7" i="13"/>
  <c r="G7" i="13"/>
  <c r="F7" i="13"/>
  <c r="E7" i="13"/>
  <c r="D7" i="13"/>
  <c r="C7" i="13"/>
  <c r="I6" i="13"/>
  <c r="H6" i="13"/>
  <c r="G6" i="13"/>
  <c r="F6" i="13"/>
  <c r="E6" i="13"/>
  <c r="D6" i="13"/>
  <c r="C6" i="13"/>
  <c r="I5" i="13"/>
  <c r="H5" i="13"/>
  <c r="G5" i="13"/>
  <c r="F5" i="13"/>
  <c r="E5" i="13"/>
  <c r="D5" i="13"/>
  <c r="C5" i="13"/>
  <c r="I4" i="13"/>
  <c r="H4" i="13"/>
  <c r="G4" i="13"/>
  <c r="F4" i="13"/>
  <c r="E4" i="13"/>
  <c r="D4" i="13"/>
  <c r="C4" i="13"/>
  <c r="I9" i="12"/>
  <c r="H9" i="12"/>
  <c r="G9" i="12"/>
  <c r="F9" i="12"/>
  <c r="E9" i="12"/>
  <c r="D9" i="12"/>
  <c r="C9" i="12"/>
  <c r="I8" i="12"/>
  <c r="H8" i="12"/>
  <c r="G8" i="12"/>
  <c r="F8" i="12"/>
  <c r="E8" i="12"/>
  <c r="D8" i="12"/>
  <c r="C8" i="12"/>
  <c r="I7" i="12"/>
  <c r="H7" i="12"/>
  <c r="G7" i="12"/>
  <c r="F7" i="12"/>
  <c r="E7" i="12"/>
  <c r="D7" i="12"/>
  <c r="C7" i="12"/>
  <c r="I6" i="12"/>
  <c r="H6" i="12"/>
  <c r="G6" i="12"/>
  <c r="F6" i="12"/>
  <c r="E6" i="12"/>
  <c r="D6" i="12"/>
  <c r="C6" i="12"/>
  <c r="I5" i="12"/>
  <c r="H5" i="12"/>
  <c r="G5" i="12"/>
  <c r="F5" i="12"/>
  <c r="E5" i="12"/>
  <c r="D5" i="12"/>
  <c r="C5" i="12"/>
  <c r="I4" i="12"/>
  <c r="H4" i="12"/>
  <c r="G4" i="12"/>
  <c r="F4" i="12"/>
  <c r="E4" i="12"/>
  <c r="D4" i="12"/>
  <c r="C4" i="12"/>
  <c r="I9" i="11"/>
  <c r="H9" i="11"/>
  <c r="G9" i="11"/>
  <c r="F9" i="11"/>
  <c r="E9" i="11"/>
  <c r="D9" i="11"/>
  <c r="C9" i="11"/>
  <c r="I8" i="11"/>
  <c r="H8" i="11"/>
  <c r="G8" i="11"/>
  <c r="F8" i="11"/>
  <c r="E8" i="11"/>
  <c r="D8" i="11"/>
  <c r="C8" i="11"/>
  <c r="I7" i="11"/>
  <c r="H7" i="11"/>
  <c r="G7" i="11"/>
  <c r="F7" i="11"/>
  <c r="E7" i="11"/>
  <c r="D7" i="11"/>
  <c r="C7" i="11"/>
  <c r="I6" i="11"/>
  <c r="H6" i="11"/>
  <c r="G6" i="11"/>
  <c r="F6" i="11"/>
  <c r="E6" i="11"/>
  <c r="D6" i="11"/>
  <c r="C6" i="11"/>
  <c r="I5" i="11"/>
  <c r="H5" i="11"/>
  <c r="G5" i="11"/>
  <c r="F5" i="11"/>
  <c r="E5" i="11"/>
  <c r="D5" i="11"/>
  <c r="C5" i="11"/>
  <c r="I4" i="11"/>
  <c r="H4" i="11"/>
  <c r="G4" i="11"/>
  <c r="F4" i="11"/>
  <c r="E4" i="11"/>
  <c r="D4" i="11"/>
  <c r="C4" i="11"/>
  <c r="I9" i="10"/>
  <c r="H9" i="10"/>
  <c r="G9" i="10"/>
  <c r="F9" i="10"/>
  <c r="E9" i="10"/>
  <c r="D9" i="10"/>
  <c r="C9" i="10"/>
  <c r="I8" i="10"/>
  <c r="H8" i="10"/>
  <c r="G8" i="10"/>
  <c r="F8" i="10"/>
  <c r="E8" i="10"/>
  <c r="D8" i="10"/>
  <c r="C8" i="10"/>
  <c r="I7" i="10"/>
  <c r="H7" i="10"/>
  <c r="G7" i="10"/>
  <c r="F7" i="10"/>
  <c r="E7" i="10"/>
  <c r="D7" i="10"/>
  <c r="C7" i="10"/>
  <c r="I6" i="10"/>
  <c r="H6" i="10"/>
  <c r="G6" i="10"/>
  <c r="F6" i="10"/>
  <c r="E6" i="10"/>
  <c r="D6" i="10"/>
  <c r="C6" i="10"/>
  <c r="I5" i="10"/>
  <c r="H5" i="10"/>
  <c r="G5" i="10"/>
  <c r="F5" i="10"/>
  <c r="E5" i="10"/>
  <c r="D5" i="10"/>
  <c r="C5" i="10"/>
  <c r="I4" i="10"/>
  <c r="H4" i="10"/>
  <c r="G4" i="10"/>
  <c r="F4" i="10"/>
  <c r="E4" i="10"/>
  <c r="D4" i="10"/>
  <c r="C4" i="10"/>
  <c r="I9" i="9"/>
  <c r="H9" i="9"/>
  <c r="G9" i="9"/>
  <c r="F9" i="9"/>
  <c r="E9" i="9"/>
  <c r="D9" i="9"/>
  <c r="C9" i="9"/>
  <c r="I8" i="9"/>
  <c r="H8" i="9"/>
  <c r="G8" i="9"/>
  <c r="F8" i="9"/>
  <c r="E8" i="9"/>
  <c r="D8" i="9"/>
  <c r="C8" i="9"/>
  <c r="I7" i="9"/>
  <c r="H7" i="9"/>
  <c r="G7" i="9"/>
  <c r="F7" i="9"/>
  <c r="E7" i="9"/>
  <c r="D7" i="9"/>
  <c r="C7" i="9"/>
  <c r="I6" i="9"/>
  <c r="H6" i="9"/>
  <c r="G6" i="9"/>
  <c r="F6" i="9"/>
  <c r="E6" i="9"/>
  <c r="D6" i="9"/>
  <c r="C6" i="9"/>
  <c r="I5" i="9"/>
  <c r="H5" i="9"/>
  <c r="G5" i="9"/>
  <c r="F5" i="9"/>
  <c r="E5" i="9"/>
  <c r="D5" i="9"/>
  <c r="C5" i="9"/>
  <c r="I4" i="9"/>
  <c r="H4" i="9"/>
  <c r="G4" i="9"/>
  <c r="F4" i="9"/>
  <c r="E4" i="9"/>
  <c r="D4" i="9"/>
  <c r="C4" i="9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I6" i="7"/>
  <c r="H6" i="7"/>
  <c r="G6" i="7"/>
  <c r="F6" i="7"/>
  <c r="E6" i="7"/>
  <c r="D6" i="7"/>
  <c r="C6" i="7"/>
  <c r="I5" i="7"/>
  <c r="H5" i="7"/>
  <c r="G5" i="7"/>
  <c r="F5" i="7"/>
  <c r="E5" i="7"/>
  <c r="D5" i="7"/>
  <c r="C5" i="7"/>
  <c r="I4" i="7"/>
  <c r="H4" i="7"/>
  <c r="G4" i="7"/>
  <c r="F4" i="7"/>
  <c r="E4" i="7"/>
  <c r="D4" i="7"/>
  <c r="C4" i="7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H4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<sst xmlns="http://schemas.openxmlformats.org/spreadsheetml/2006/main" count="555" uniqueCount="38">
  <si>
    <t>ΙΑΝ</t>
  </si>
  <si>
    <t>ΕΒΔΟΜΑΔΙΑΙΟ ΠΡΟΓΡΑΜΜΑ</t>
  </si>
  <si>
    <t>ΔΕΥ</t>
  </si>
  <si>
    <t>8:00</t>
  </si>
  <si>
    <t>Γαλλικά</t>
  </si>
  <si>
    <t>10:00</t>
  </si>
  <si>
    <t>Μαθηματικά</t>
  </si>
  <si>
    <t>2:00</t>
  </si>
  <si>
    <t>Αγγλικά</t>
  </si>
  <si>
    <t>Δ</t>
  </si>
  <si>
    <t>ΤΡΙ</t>
  </si>
  <si>
    <t>9:00</t>
  </si>
  <si>
    <t>Ιστορία της τέχνης</t>
  </si>
  <si>
    <t>4:00</t>
  </si>
  <si>
    <t>Προγραμματισμός</t>
  </si>
  <si>
    <t>Τ</t>
  </si>
  <si>
    <t>ΤΕΤ</t>
  </si>
  <si>
    <t>Π</t>
  </si>
  <si>
    <t>ΠΕΜ</t>
  </si>
  <si>
    <t>Σ</t>
  </si>
  <si>
    <t>Κ</t>
  </si>
  <si>
    <t>ΠΑΡ</t>
  </si>
  <si>
    <t>ΕΡΓΑΣΙΕΣ</t>
  </si>
  <si>
    <t>Γαλλικά: Παράδοση πρώτης εργασίας</t>
  </si>
  <si>
    <t>Ιστορία της τέχνης: Διαγώνισμα</t>
  </si>
  <si>
    <t>&lt; Καταχωρήστε το ημερολογιακό έτος στο κελί N2.</t>
  </si>
  <si>
    <t>ΦΕΒ</t>
  </si>
  <si>
    <t>ΜΑΡ</t>
  </si>
  <si>
    <t>K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</si>
  <si>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</si>
  <si>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</si>
  <si>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</si>
  <si>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</si>
  <si>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</si>
  <si>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</si>
  <si>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</si>
  <si>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</si>
  <si>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ΜΑΪ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</si>
</sst>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"/>
  </numFmts>
  <fonts count="21" x14ac:knownFonts="1">
    <font>
      <sz val="10"/>
      <color theme="1"/>
      <name val="Arial"/>
      <family val="2"/>
      <scheme val="minor"/>
    </font>
    <font>
      <sz val="12"/>
      <color rgb="FF002060"/>
      <name val="Arial"/>
      <family val="2"/>
      <scheme val="minor"/>
    </font>
    <font>
      <sz val="8"/>
      <name val="Arial"/>
      <family val="2"/>
      <scheme val="minor"/>
    </font>
    <font>
      <sz val="12"/>
      <color theme="4"/>
      <name val="Arial"/>
      <family val="2"/>
      <scheme val="major"/>
    </font>
    <font>
      <sz val="10"/>
      <color theme="1"/>
      <name val="Arial"/>
      <family val="2"/>
      <scheme val="major"/>
    </font>
    <font>
      <b/>
      <sz val="12"/>
      <color theme="4"/>
      <name val="Arial"/>
      <family val="2"/>
      <scheme val="major"/>
    </font>
    <font>
      <b/>
      <sz val="10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10"/>
      <color theme="0"/>
      <name val="Arial"/>
      <family val="2"/>
      <scheme val="minor"/>
    </font>
    <font>
      <b/>
      <sz val="8.5"/>
      <color theme="1"/>
      <name val="Arial"/>
      <family val="2"/>
      <scheme val="minor"/>
    </font>
    <font>
      <sz val="8.5"/>
      <color theme="1"/>
      <name val="Arial"/>
      <family val="2"/>
      <scheme val="minor"/>
    </font>
    <font>
      <b/>
      <sz val="8.5"/>
      <color theme="1"/>
      <name val="Arial"/>
      <family val="2"/>
      <scheme val="maj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0.5"/>
      <color theme="1" tint="0.249977111117893"/>
      <name val="Arial"/>
      <family val="2"/>
      <scheme val="minor"/>
    </font>
    <font>
      <b/>
      <sz val="10.5"/>
      <name val="Arial"/>
      <family val="2"/>
      <scheme val="minor"/>
    </font>
    <font>
      <b/>
      <sz val="17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26"/>
      <color theme="4"/>
      <name val="Arial"/>
      <family val="2"/>
      <scheme val="major"/>
    </font>
    <font>
      <b/>
      <sz val="10"/>
      <color rgb="FF39B5D4"/>
      <name val="Arial"/>
      <family val="2"/>
      <scheme val="minor"/>
    </font>
    <font>
      <b/>
      <sz val="10"/>
      <color theme="4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theme="5"/>
      </bottom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/>
      <bottom style="thin">
        <color theme="4" tint="0.79998168889431442"/>
      </bottom>
      <diagonal/>
    </border>
    <border>
      <left/>
      <right/>
      <top style="thin">
        <color theme="5"/>
      </top>
      <bottom style="thin">
        <color theme="4" tint="0.79998168889431442"/>
      </bottom>
      <diagonal/>
    </border>
    <border>
      <left/>
      <right style="thin">
        <color theme="0"/>
      </right>
      <top/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 style="thin">
        <color theme="4" tint="0.79995117038483843"/>
      </bottom>
      <diagonal/>
    </border>
    <border>
      <left style="thin">
        <color theme="0"/>
      </left>
      <right/>
      <top/>
      <bottom style="thin">
        <color theme="4" tint="0.79995117038483843"/>
      </bottom>
      <diagonal/>
    </border>
    <border>
      <left/>
      <right style="thin">
        <color theme="0"/>
      </right>
      <top/>
      <bottom style="thin">
        <color theme="4" tint="0.79995117038483843"/>
      </bottom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 style="thin">
        <color theme="4" tint="0.79995117038483843"/>
      </bottom>
      <diagonal/>
    </border>
    <border>
      <left/>
      <right style="thin">
        <color theme="4" tint="0.79992065187536243"/>
      </right>
      <top/>
      <bottom/>
      <diagonal/>
    </border>
    <border>
      <left/>
      <right/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98168889431442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5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4" tint="0.7999816888943144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4" tint="0.79992065187536243"/>
      </right>
      <top/>
      <bottom style="thin">
        <color theme="0"/>
      </bottom>
      <diagonal/>
    </border>
    <border>
      <left/>
      <right style="thin">
        <color theme="4" tint="0.79992065187536243"/>
      </right>
      <top style="thin">
        <color theme="0"/>
      </top>
      <bottom/>
      <diagonal/>
    </border>
    <border>
      <left style="thin">
        <color theme="4" tint="0.79992065187536243"/>
      </left>
      <right/>
      <top/>
      <bottom/>
      <diagonal/>
    </border>
    <border>
      <left style="thin">
        <color theme="4" tint="0.79992065187536243"/>
      </left>
      <right/>
      <top/>
      <bottom style="thin">
        <color theme="4" tint="0.79989013336588644"/>
      </bottom>
      <diagonal/>
    </border>
    <border>
      <left/>
      <right/>
      <top/>
      <bottom style="thin">
        <color theme="4" tint="0.79989013336588644"/>
      </bottom>
      <diagonal/>
    </border>
    <border>
      <left/>
      <right style="thin">
        <color theme="4" tint="0.79989013336588644"/>
      </right>
      <top/>
      <bottom style="thin">
        <color theme="4" tint="0.79989013336588644"/>
      </bottom>
      <diagonal/>
    </border>
    <border>
      <left style="thin">
        <color theme="4" tint="0.79992065187536243"/>
      </left>
      <right/>
      <top style="thin">
        <color theme="4" tint="0.79989013336588644"/>
      </top>
      <bottom/>
      <diagonal/>
    </border>
    <border>
      <left/>
      <right/>
      <top style="thin">
        <color theme="4" tint="0.79989013336588644"/>
      </top>
      <bottom/>
      <diagonal/>
    </border>
    <border>
      <left/>
      <right style="thin">
        <color theme="4" tint="0.79989013336588644"/>
      </right>
      <top style="thin">
        <color theme="4" tint="0.79989013336588644"/>
      </top>
      <bottom/>
      <diagonal/>
    </border>
    <border>
      <left style="thin">
        <color theme="4" tint="0.79992065187536243"/>
      </left>
      <right/>
      <top style="thin">
        <color theme="4" tint="0.79998168889431442"/>
      </top>
      <bottom/>
      <diagonal/>
    </border>
    <border>
      <left/>
      <right/>
      <top style="thin">
        <color theme="4" tint="0.79989013336588644"/>
      </top>
      <bottom style="thin">
        <color theme="5"/>
      </bottom>
      <diagonal/>
    </border>
    <border>
      <left/>
      <right style="thin">
        <color theme="4" tint="0.79995117038483843"/>
      </right>
      <top style="thin">
        <color theme="4" tint="0.79989013336588644"/>
      </top>
      <bottom style="thin">
        <color theme="5"/>
      </bottom>
      <diagonal/>
    </border>
    <border>
      <left style="thin">
        <color theme="4" tint="0.79998168889431442"/>
      </left>
      <right/>
      <top style="thin">
        <color theme="4" tint="0.79995117038483843"/>
      </top>
      <bottom/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2065187536243"/>
      </right>
      <top style="thin">
        <color theme="4" tint="0.79995117038483843"/>
      </top>
      <bottom/>
      <diagonal/>
    </border>
    <border>
      <left style="thin">
        <color theme="4" tint="0.79998168889431442"/>
      </left>
      <right/>
      <top/>
      <bottom style="thin">
        <color theme="4" tint="0.79995117038483843"/>
      </bottom>
      <diagonal/>
    </border>
    <border>
      <left/>
      <right style="thin">
        <color theme="4" tint="0.79985961485641044"/>
      </right>
      <top style="thin">
        <color theme="4" tint="0.79985961485641044"/>
      </top>
      <bottom/>
      <diagonal/>
    </border>
    <border>
      <left/>
      <right style="thin">
        <color theme="4" tint="0.79985961485641044"/>
      </right>
      <top/>
      <bottom style="thin">
        <color theme="4" tint="0.7998901333658864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Protection="0">
      <alignment textRotation="90"/>
    </xf>
  </cellStyleXfs>
  <cellXfs count="77">
    <xf numFmtId="0" fontId="0" fillId="0" borderId="0" xfId="0"/>
    <xf numFmtId="0" fontId="4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left" indent="1"/>
    </xf>
    <xf numFmtId="0" fontId="0" fillId="0" borderId="8" xfId="0" applyBorder="1"/>
    <xf numFmtId="0" fontId="0" fillId="0" borderId="15" xfId="0" applyBorder="1"/>
    <xf numFmtId="0" fontId="10" fillId="3" borderId="20" xfId="0" applyFont="1" applyFill="1" applyBorder="1" applyAlignment="1">
      <alignment horizontal="left" vertical="top" indent="1"/>
    </xf>
    <xf numFmtId="0" fontId="10" fillId="3" borderId="10" xfId="0" applyFont="1" applyFill="1" applyBorder="1" applyAlignment="1">
      <alignment horizontal="left" vertical="top" indent="1"/>
    </xf>
    <xf numFmtId="49" fontId="9" fillId="3" borderId="7" xfId="0" applyNumberFormat="1" applyFont="1" applyFill="1" applyBorder="1" applyAlignment="1">
      <alignment horizontal="left" indent="1"/>
    </xf>
    <xf numFmtId="49" fontId="9" fillId="3" borderId="23" xfId="0" applyNumberFormat="1" applyFont="1" applyFill="1" applyBorder="1" applyAlignment="1">
      <alignment horizontal="left" indent="1"/>
    </xf>
    <xf numFmtId="164" fontId="1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right" vertical="center" textRotation="90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textRotation="90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14" xfId="0" applyBorder="1"/>
    <xf numFmtId="0" fontId="19" fillId="0" borderId="0" xfId="0" applyFont="1" applyAlignment="1">
      <alignment vertical="center" wrapText="1"/>
    </xf>
    <xf numFmtId="0" fontId="17" fillId="0" borderId="6" xfId="2" applyFill="1" applyBorder="1" applyAlignment="1">
      <alignment vertical="top"/>
    </xf>
    <xf numFmtId="0" fontId="17" fillId="0" borderId="41" xfId="2" applyFill="1" applyBorder="1" applyAlignment="1">
      <alignment vertical="top"/>
    </xf>
    <xf numFmtId="0" fontId="17" fillId="0" borderId="6" xfId="2" applyFill="1" applyBorder="1" applyAlignment="1">
      <alignment vertical="center" textRotation="90"/>
    </xf>
    <xf numFmtId="0" fontId="17" fillId="0" borderId="41" xfId="2" applyFill="1" applyBorder="1" applyAlignment="1">
      <alignment vertical="center" textRotation="90"/>
    </xf>
    <xf numFmtId="0" fontId="0" fillId="0" borderId="38" xfId="0" applyBorder="1"/>
    <xf numFmtId="0" fontId="15" fillId="0" borderId="13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right" vertical="center"/>
    </xf>
    <xf numFmtId="0" fontId="6" fillId="0" borderId="13" xfId="0" applyFont="1" applyBorder="1" applyAlignment="1">
      <alignment horizontal="center"/>
    </xf>
    <xf numFmtId="0" fontId="17" fillId="0" borderId="6" xfId="2" applyFill="1" applyBorder="1" applyAlignment="1">
      <alignment vertical="top"/>
    </xf>
    <xf numFmtId="0" fontId="20" fillId="0" borderId="0" xfId="0" applyFont="1" applyAlignment="1">
      <alignment vertical="center" wrapText="1"/>
    </xf>
    <xf numFmtId="0" fontId="7" fillId="0" borderId="6" xfId="4" applyBorder="1" applyAlignment="1">
      <alignment horizontal="left" vertical="center"/>
    </xf>
    <xf numFmtId="0" fontId="7" fillId="0" borderId="0" xfId="4" applyAlignment="1">
      <alignment horizontal="left" vertical="center"/>
    </xf>
    <xf numFmtId="0" fontId="7" fillId="0" borderId="15" xfId="4" applyBorder="1" applyAlignment="1">
      <alignment horizontal="left" vertical="center"/>
    </xf>
    <xf numFmtId="0" fontId="12" fillId="0" borderId="2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49" fontId="9" fillId="3" borderId="9" xfId="0" applyNumberFormat="1" applyFont="1" applyFill="1" applyBorder="1" applyAlignment="1">
      <alignment horizontal="left" indent="1"/>
    </xf>
    <xf numFmtId="49" fontId="9" fillId="3" borderId="5" xfId="0" applyNumberFormat="1" applyFont="1" applyFill="1" applyBorder="1" applyAlignment="1">
      <alignment horizontal="left" indent="1"/>
    </xf>
    <xf numFmtId="0" fontId="10" fillId="3" borderId="21" xfId="0" applyFont="1" applyFill="1" applyBorder="1" applyAlignment="1">
      <alignment horizontal="left" vertical="top" indent="1"/>
    </xf>
    <xf numFmtId="0" fontId="10" fillId="3" borderId="22" xfId="0" applyFont="1" applyFill="1" applyBorder="1" applyAlignment="1">
      <alignment horizontal="left" vertical="top" indent="1"/>
    </xf>
    <xf numFmtId="0" fontId="10" fillId="3" borderId="11" xfId="0" applyFont="1" applyFill="1" applyBorder="1" applyAlignment="1">
      <alignment horizontal="left" vertical="top" indent="1"/>
    </xf>
    <xf numFmtId="0" fontId="10" fillId="3" borderId="12" xfId="0" applyFont="1" applyFill="1" applyBorder="1" applyAlignment="1">
      <alignment horizontal="left" vertical="top" indent="1"/>
    </xf>
    <xf numFmtId="49" fontId="11" fillId="3" borderId="9" xfId="0" applyNumberFormat="1" applyFont="1" applyFill="1" applyBorder="1" applyAlignment="1">
      <alignment horizontal="left" indent="1"/>
    </xf>
    <xf numFmtId="49" fontId="11" fillId="3" borderId="15" xfId="0" applyNumberFormat="1" applyFont="1" applyFill="1" applyBorder="1" applyAlignment="1">
      <alignment horizontal="left" indent="1"/>
    </xf>
    <xf numFmtId="0" fontId="10" fillId="3" borderId="26" xfId="0" applyFont="1" applyFill="1" applyBorder="1" applyAlignment="1">
      <alignment horizontal="left" vertical="top" indent="1"/>
    </xf>
    <xf numFmtId="49" fontId="9" fillId="3" borderId="9" xfId="0" applyNumberFormat="1" applyFont="1" applyFill="1" applyBorder="1" applyAlignment="1">
      <alignment horizontal="left" vertical="center" indent="1"/>
    </xf>
    <xf numFmtId="49" fontId="9" fillId="3" borderId="15" xfId="0" applyNumberFormat="1" applyFont="1" applyFill="1" applyBorder="1" applyAlignment="1">
      <alignment horizontal="left" vertical="center" indent="1"/>
    </xf>
    <xf numFmtId="0" fontId="10" fillId="3" borderId="14" xfId="0" applyFont="1" applyFill="1" applyBorder="1" applyAlignment="1">
      <alignment horizontal="left" vertical="top" indent="1"/>
    </xf>
    <xf numFmtId="49" fontId="9" fillId="3" borderId="15" xfId="0" applyNumberFormat="1" applyFont="1" applyFill="1" applyBorder="1" applyAlignment="1">
      <alignment horizontal="left" indent="1"/>
    </xf>
    <xf numFmtId="0" fontId="11" fillId="3" borderId="21" xfId="0" applyFont="1" applyFill="1" applyBorder="1" applyAlignment="1">
      <alignment horizontal="left" vertical="top" indent="1"/>
    </xf>
    <xf numFmtId="0" fontId="11" fillId="3" borderId="26" xfId="0" applyFont="1" applyFill="1" applyBorder="1" applyAlignment="1">
      <alignment horizontal="left" vertical="top" indent="1"/>
    </xf>
    <xf numFmtId="49" fontId="9" fillId="3" borderId="24" xfId="0" applyNumberFormat="1" applyFont="1" applyFill="1" applyBorder="1" applyAlignment="1">
      <alignment horizontal="left" indent="1"/>
    </xf>
    <xf numFmtId="49" fontId="9" fillId="3" borderId="25" xfId="0" applyNumberFormat="1" applyFont="1" applyFill="1" applyBorder="1" applyAlignment="1">
      <alignment horizontal="left" indent="1"/>
    </xf>
    <xf numFmtId="49" fontId="9" fillId="3" borderId="27" xfId="0" applyNumberFormat="1" applyFont="1" applyFill="1" applyBorder="1" applyAlignment="1">
      <alignment horizontal="left" indent="1"/>
    </xf>
    <xf numFmtId="0" fontId="7" fillId="0" borderId="35" xfId="5" applyBorder="1" applyAlignment="1">
      <alignment vertical="top"/>
    </xf>
    <xf numFmtId="0" fontId="7" fillId="0" borderId="28" xfId="5" applyBorder="1" applyAlignment="1">
      <alignment vertical="top"/>
    </xf>
    <xf numFmtId="0" fontId="8" fillId="2" borderId="9" xfId="0" applyFont="1" applyFill="1" applyBorder="1" applyAlignment="1">
      <alignment horizontal="left" indent="1"/>
    </xf>
    <xf numFmtId="0" fontId="8" fillId="2" borderId="15" xfId="0" applyFont="1" applyFill="1" applyBorder="1" applyAlignment="1">
      <alignment horizontal="left" indent="1"/>
    </xf>
    <xf numFmtId="0" fontId="8" fillId="2" borderId="5" xfId="0" applyFont="1" applyFill="1" applyBorder="1" applyAlignment="1">
      <alignment horizontal="left" indent="1"/>
    </xf>
    <xf numFmtId="0" fontId="16" fillId="0" borderId="32" xfId="3" applyBorder="1" applyAlignment="1">
      <alignment horizontal="left" vertical="center" indent="2"/>
    </xf>
    <xf numFmtId="0" fontId="16" fillId="0" borderId="33" xfId="3" applyBorder="1" applyAlignment="1">
      <alignment horizontal="left" vertical="center" indent="2"/>
    </xf>
    <xf numFmtId="0" fontId="16" fillId="0" borderId="29" xfId="3" applyBorder="1" applyAlignment="1">
      <alignment horizontal="left" vertical="center" indent="2"/>
    </xf>
    <xf numFmtId="0" fontId="16" fillId="0" borderId="30" xfId="3" applyBorder="1" applyAlignment="1">
      <alignment horizontal="left" vertical="center" indent="2"/>
    </xf>
    <xf numFmtId="0" fontId="7" fillId="0" borderId="32" xfId="5" applyBorder="1" applyAlignment="1">
      <alignment vertical="top"/>
    </xf>
    <xf numFmtId="0" fontId="12" fillId="0" borderId="36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6" fillId="0" borderId="34" xfId="3" applyFill="1" applyBorder="1" applyAlignment="1">
      <alignment horizontal="center" vertical="center"/>
    </xf>
    <xf numFmtId="0" fontId="16" fillId="0" borderId="31" xfId="3" applyFill="1" applyBorder="1" applyAlignment="1">
      <alignment horizontal="center" vertical="center"/>
    </xf>
    <xf numFmtId="0" fontId="16" fillId="0" borderId="42" xfId="3" applyBorder="1" applyAlignment="1">
      <alignment horizontal="center" vertical="center"/>
    </xf>
    <xf numFmtId="0" fontId="16" fillId="0" borderId="43" xfId="3" applyBorder="1" applyAlignment="1">
      <alignment horizontal="center" vertical="center"/>
    </xf>
  </cellXfs>
  <cellStyles count="6"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νονικό" xfId="0" builtinId="0" customBuiltin="1"/>
    <cellStyle name="Τίτλος" xfId="1" builtinId="15" customBuiltin="1"/>
  </cellStyles>
  <dxfs count="59"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top style="double">
          <color theme="6" tint="-0.24994659260841701"/>
        </top>
      </border>
    </dxf>
    <dxf>
      <font>
        <color theme="0"/>
      </font>
      <fill>
        <patternFill patternType="solid">
          <fgColor theme="4"/>
          <bgColor theme="7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fill>
        <patternFill>
          <bgColor theme="0"/>
        </patternFill>
      </fill>
      <border>
        <left style="thin">
          <color theme="9" tint="0.59996337778862885"/>
        </left>
        <right style="thin">
          <color theme="9" tint="0.59996337778862885"/>
        </right>
        <top style="thin">
          <color theme="9" tint="0.59996337778862885"/>
        </top>
        <bottom style="thin">
          <color theme="9" tint="0.59996337778862885"/>
        </bottom>
        <vertical/>
        <horizontal style="dashDotDot">
          <color theme="9" tint="0.59996337778862885"/>
        </horizontal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b/>
        <color theme="9" tint="-0.249977111117893"/>
      </font>
      <border>
        <bottom style="thin">
          <color theme="9"/>
        </bottom>
      </border>
    </dxf>
    <dxf>
      <font>
        <color theme="9" tint="-0.249977111117893"/>
      </font>
      <fill>
        <patternFill>
          <bgColor theme="0"/>
        </patternFill>
      </fill>
      <border>
        <top style="thin">
          <color theme="9"/>
        </top>
        <bottom style="thin">
          <color theme="9"/>
        </bottom>
      </border>
    </dxf>
  </dxfs>
  <tableStyles count="2" defaultTableStyle="TableStyleMedium2" defaultPivotStyle="PivotStyleLight16">
    <tableStyle name="TableStyleLight7 2" pivot="0" count="7" xr9:uid="{00000000-0011-0000-FFFF-FFFF00000000}">
      <tableStyleElement type="wholeTable" dxfId="58"/>
      <tableStyleElement type="headerRow" dxfId="57"/>
      <tableStyleElement type="totalRow" dxfId="56"/>
      <tableStyleElement type="firstColumn" dxfId="55"/>
      <tableStyleElement type="lastColumn" dxfId="54"/>
      <tableStyleElement type="firstRowStripe" dxfId="53"/>
      <tableStyleElement type="firstColumnStripe" dxfId="52"/>
    </tableStyle>
    <tableStyle name="TableStyleLight9 2" pivot="0" count="4" xr9:uid="{00000000-0011-0000-FFFF-FFFF01000000}">
      <tableStyleElement type="wholeTable" dxfId="51"/>
      <tableStyleElement type="headerRow" dxfId="50"/>
      <tableStyleElement type="totalRow" dxfId="49"/>
      <tableStyleElement type="fir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P33"/>
  <sheetViews>
    <sheetView showGridLines="0" tabSelected="1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  <col min="16" max="16" width="30.85546875" customWidth="1"/>
  </cols>
  <sheetData>
    <row r="1" spans="1:16" ht="11.25" customHeight="1" x14ac:dyDescent="0.2"/>
    <row r="2" spans="1:16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3">
        <v>2020</v>
      </c>
      <c r="P2" s="31" t="s">
        <v>25</v>
      </c>
    </row>
    <row r="3" spans="1:16" ht="21" customHeight="1" x14ac:dyDescent="0.2">
      <c r="A3" s="3"/>
      <c r="B3" s="30" t="s">
        <v>0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4"/>
      <c r="P3" s="31"/>
    </row>
    <row r="4" spans="1:16" ht="18" customHeight="1" x14ac:dyDescent="0.2">
      <c r="A4" s="3"/>
      <c r="B4" s="30"/>
      <c r="C4" s="9">
        <f>IF(DAY(_1ηΚυρΙαν)=1,_1ηΚυρΙαν-6,_1ηΚυρΙαν+1)</f>
        <v>43829</v>
      </c>
      <c r="D4" s="9">
        <f>IF(DAY(_1ηΚυρΙαν)=1,_1ηΚυρΙαν-5,_1ηΚυρΙαν+2)</f>
        <v>43830</v>
      </c>
      <c r="E4" s="9">
        <f>IF(DAY(_1ηΚυρΙαν)=1,_1ηΚυρΙαν-4,_1ηΚυρΙαν+3)</f>
        <v>43831</v>
      </c>
      <c r="F4" s="9">
        <f>IF(DAY(_1ηΚυρΙαν)=1,_1ηΚυρΙαν-3,_1ηΚυρΙαν+4)</f>
        <v>43832</v>
      </c>
      <c r="G4" s="9">
        <f>IF(DAY(_1ηΚυρΙαν)=1,_1ηΚυρΙαν-2,_1ηΚυρΙαν+5)</f>
        <v>43833</v>
      </c>
      <c r="H4" s="9">
        <f>IF(DAY(_1ηΚυρΙαν)=1,_1ηΚυρΙαν-1,_1ηΚυρΙαν+6)</f>
        <v>43834</v>
      </c>
      <c r="I4" s="9">
        <f>IF(DAY(_1ηΚυρΙαν)=1,_1ηΚυρΙαν,_1ηΚυρΙαν+7)</f>
        <v>43835</v>
      </c>
      <c r="J4" s="4"/>
      <c r="K4" s="70" t="s">
        <v>2</v>
      </c>
      <c r="L4" s="14">
        <v>4</v>
      </c>
      <c r="M4" s="71" t="s">
        <v>23</v>
      </c>
      <c r="N4" s="72"/>
      <c r="P4" s="21"/>
    </row>
    <row r="5" spans="1:16" ht="18" customHeight="1" x14ac:dyDescent="0.2">
      <c r="A5" s="3"/>
      <c r="B5" s="22"/>
      <c r="C5" s="9">
        <f>IF(DAY(_1ηΚυρΙαν)=1,_1ηΚυρΙαν+1,_1ηΚυρΙαν+8)</f>
        <v>43836</v>
      </c>
      <c r="D5" s="9">
        <f>IF(DAY(_1ηΚυρΙαν)=1,_1ηΚυρΙαν+2,_1ηΚυρΙαν+9)</f>
        <v>43837</v>
      </c>
      <c r="E5" s="9">
        <f>IF(DAY(_1ηΚυρΙαν)=1,_1ηΚυρΙαν+3,_1ηΚυρΙαν+10)</f>
        <v>43838</v>
      </c>
      <c r="F5" s="9">
        <f>IF(DAY(_1ηΚυρΙαν)=1,_1ηΚυρΙαν+4,_1ηΚυρΙαν+11)</f>
        <v>43839</v>
      </c>
      <c r="G5" s="9">
        <f>IF(DAY(_1ηΚυρΙαν)=1,_1ηΚυρΙαν+5,_1ηΚυρΙαν+12)</f>
        <v>43840</v>
      </c>
      <c r="H5" s="9">
        <f>IF(DAY(_1ηΚυρΙαν)=1,_1ηΚυρΙαν+6,_1ηΚυρΙαν+13)</f>
        <v>43841</v>
      </c>
      <c r="I5" s="9">
        <f>IF(DAY(_1ηΚυρΙαν)=1,_1ηΚυρΙαν+7,_1ηΚυρΙαν+14)</f>
        <v>43842</v>
      </c>
      <c r="J5" s="4"/>
      <c r="K5" s="62"/>
      <c r="L5" s="15"/>
      <c r="M5" s="35"/>
      <c r="N5" s="36"/>
      <c r="P5" s="21"/>
    </row>
    <row r="6" spans="1:16" ht="18" customHeight="1" x14ac:dyDescent="0.2">
      <c r="A6" s="3"/>
      <c r="B6" s="22"/>
      <c r="C6" s="9">
        <f>IF(DAY(_1ηΚυρΙαν)=1,_1ηΚυρΙαν+8,_1ηΚυρΙαν+15)</f>
        <v>43843</v>
      </c>
      <c r="D6" s="9">
        <f>IF(DAY(_1ηΚυρΙαν)=1,_1ηΚυρΙαν+9,_1ηΚυρΙαν+16)</f>
        <v>43844</v>
      </c>
      <c r="E6" s="9">
        <f>IF(DAY(_1ηΚυρΙαν)=1,_1ηΚυρΙαν+10,_1ηΚυρΙαν+17)</f>
        <v>43845</v>
      </c>
      <c r="F6" s="9">
        <f>IF(DAY(_1ηΚυρΙαν)=1,_1ηΚυρΙαν+11,_1ηΚυρΙαν+18)</f>
        <v>43846</v>
      </c>
      <c r="G6" s="9">
        <f>IF(DAY(_1ηΚυρΙαν)=1,_1ηΚυρΙαν+12,_1ηΚυρΙαν+19)</f>
        <v>43847</v>
      </c>
      <c r="H6" s="9">
        <f>IF(DAY(_1ηΚυρΙαν)=1,_1ηΚυρΙαν+13,_1ηΚυρΙαν+20)</f>
        <v>43848</v>
      </c>
      <c r="I6" s="9">
        <f>IF(DAY(_1ηΚυρΙαν)=1,_1ηΚυρΙαν+14,_1ηΚυρΙαν+21)</f>
        <v>43849</v>
      </c>
      <c r="J6" s="4"/>
      <c r="K6" s="62"/>
      <c r="L6" s="15"/>
      <c r="M6" s="35"/>
      <c r="N6" s="36"/>
    </row>
    <row r="7" spans="1:16" ht="18" customHeight="1" x14ac:dyDescent="0.2">
      <c r="A7" s="3"/>
      <c r="B7" s="22"/>
      <c r="C7" s="9">
        <f>IF(DAY(_1ηΚυρΙαν)=1,_1ηΚυρΙαν+15,_1ηΚυρΙαν+22)</f>
        <v>43850</v>
      </c>
      <c r="D7" s="9">
        <f>IF(DAY(_1ηΚυρΙαν)=1,_1ηΚυρΙαν+16,_1ηΚυρΙαν+23)</f>
        <v>43851</v>
      </c>
      <c r="E7" s="9">
        <f>IF(DAY(_1ηΚυρΙαν)=1,_1ηΚυρΙαν+17,_1ηΚυρΙαν+24)</f>
        <v>43852</v>
      </c>
      <c r="F7" s="9">
        <f>IF(DAY(_1ηΚυρΙαν)=1,_1ηΚυρΙαν+18,_1ηΚυρΙαν+25)</f>
        <v>43853</v>
      </c>
      <c r="G7" s="9">
        <f>IF(DAY(_1ηΚυρΙαν)=1,_1ηΚυρΙαν+19,_1ηΚυρΙαν+26)</f>
        <v>43854</v>
      </c>
      <c r="H7" s="9">
        <f>IF(DAY(_1ηΚυρΙαν)=1,_1ηΚυρΙαν+20,_1ηΚυρΙαν+27)</f>
        <v>43855</v>
      </c>
      <c r="I7" s="9">
        <f>IF(DAY(_1ηΚυρΙαν)=1,_1ηΚυρΙαν+21,_1ηΚυρΙαν+28)</f>
        <v>43856</v>
      </c>
      <c r="J7" s="4"/>
      <c r="K7" s="10"/>
      <c r="L7" s="15"/>
      <c r="M7" s="35"/>
      <c r="N7" s="36"/>
    </row>
    <row r="8" spans="1:16" ht="18.75" customHeight="1" x14ac:dyDescent="0.2">
      <c r="A8" s="3"/>
      <c r="B8" s="22"/>
      <c r="C8" s="9">
        <f>IF(DAY(_1ηΚυρΙαν)=1,_1ηΚυρΙαν+22,_1ηΚυρΙαν+29)</f>
        <v>43857</v>
      </c>
      <c r="D8" s="9">
        <f>IF(DAY(_1ηΚυρΙαν)=1,_1ηΚυρΙαν+23,_1ηΚυρΙαν+30)</f>
        <v>43858</v>
      </c>
      <c r="E8" s="9">
        <f>IF(DAY(_1ηΚυρΙαν)=1,_1ηΚυρΙαν+24,_1ηΚυρΙαν+31)</f>
        <v>43859</v>
      </c>
      <c r="F8" s="9">
        <f>IF(DAY(_1ηΚυρΙαν)=1,_1ηΚυρΙαν+25,_1ηΚυρΙαν+32)</f>
        <v>43860</v>
      </c>
      <c r="G8" s="9">
        <f>IF(DAY(_1ηΚυρΙαν)=1,_1ηΚυρΙαν+26,_1ηΚυρΙαν+33)</f>
        <v>43861</v>
      </c>
      <c r="H8" s="9">
        <f>IF(DAY(_1ηΚυρΙαν)=1,_1ηΚυρΙαν+27,_1ηΚυρΙαν+34)</f>
        <v>43862</v>
      </c>
      <c r="I8" s="9">
        <f>IF(DAY(_1ηΚυρΙαν)=1,_1ηΚυρΙαν+28,_1ηΚυρΙαν+35)</f>
        <v>43863</v>
      </c>
      <c r="J8" s="4"/>
      <c r="K8" s="10"/>
      <c r="L8" s="15"/>
      <c r="M8" s="35"/>
      <c r="N8" s="36"/>
    </row>
    <row r="9" spans="1:16" ht="18" customHeight="1" x14ac:dyDescent="0.2">
      <c r="A9" s="3"/>
      <c r="B9" s="22"/>
      <c r="C9" s="9">
        <f>IF(DAY(_1ηΚυρΙαν)=1,_1ηΚυρΙαν+29,_1ηΚυρΙαν+36)</f>
        <v>43864</v>
      </c>
      <c r="D9" s="9">
        <f>IF(DAY(_1ηΚυρΙαν)=1,_1ηΚυρΙαν+30,_1ηΚυρΙαν+37)</f>
        <v>43865</v>
      </c>
      <c r="E9" s="9">
        <f>IF(DAY(_1ηΚυρΙαν)=1,_1ηΚυρΙαν+31,_1ηΚυρΙαν+38)</f>
        <v>43866</v>
      </c>
      <c r="F9" s="9">
        <f>IF(DAY(_1ηΚυρΙαν)=1,_1ηΚυρΙαν+32,_1ηΚυρΙαν+39)</f>
        <v>43867</v>
      </c>
      <c r="G9" s="9">
        <f>IF(DAY(_1ηΚυρΙαν)=1,_1ηΚυρΙαν+33,_1ηΚυρΙαν+40)</f>
        <v>43868</v>
      </c>
      <c r="H9" s="9">
        <f>IF(DAY(_1ηΚυρΙαν)=1,_1ηΚυρΙαν+34,_1ηΚυρΙαν+41)</f>
        <v>43869</v>
      </c>
      <c r="I9" s="9">
        <f>IF(DAY(_1ηΚυρΙαν)=1,_1ηΚυρΙαν+35,_1ηΚυρΙαν+42)</f>
        <v>43870</v>
      </c>
      <c r="J9" s="4"/>
      <c r="K9" s="11"/>
      <c r="L9" s="16"/>
      <c r="M9" s="39"/>
      <c r="N9" s="40"/>
    </row>
    <row r="10" spans="1:16" ht="18" customHeight="1" x14ac:dyDescent="0.2">
      <c r="A10" s="3"/>
      <c r="B10" s="23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>
        <v>19</v>
      </c>
      <c r="M10" s="41" t="s">
        <v>24</v>
      </c>
      <c r="N10" s="42"/>
    </row>
    <row r="11" spans="1:16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6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6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6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6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6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4">
    <mergeCell ref="K16:K18"/>
    <mergeCell ref="K22:K25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K28:K30"/>
    <mergeCell ref="I13:J13"/>
    <mergeCell ref="G13:H13"/>
    <mergeCell ref="E13:F13"/>
    <mergeCell ref="C13:D13"/>
    <mergeCell ref="K2:M3"/>
    <mergeCell ref="K10:K12"/>
    <mergeCell ref="K4:K6"/>
    <mergeCell ref="M4:N4"/>
    <mergeCell ref="M5:N5"/>
    <mergeCell ref="M6:N6"/>
    <mergeCell ref="M7:N7"/>
    <mergeCell ref="M8:N8"/>
    <mergeCell ref="M9:N9"/>
    <mergeCell ref="M10:N10"/>
    <mergeCell ref="M11:N11"/>
    <mergeCell ref="N2:N3"/>
    <mergeCell ref="C19:D19"/>
    <mergeCell ref="C20:D20"/>
    <mergeCell ref="C21:D21"/>
    <mergeCell ref="C22:D22"/>
    <mergeCell ref="C23:D23"/>
    <mergeCell ref="C14:D14"/>
    <mergeCell ref="C15:D15"/>
    <mergeCell ref="C16:D16"/>
    <mergeCell ref="C17:D17"/>
    <mergeCell ref="C18:D18"/>
    <mergeCell ref="C29:D29"/>
    <mergeCell ref="C30:D30"/>
    <mergeCell ref="C31:D31"/>
    <mergeCell ref="C32:D32"/>
    <mergeCell ref="C33:D33"/>
    <mergeCell ref="C24:D24"/>
    <mergeCell ref="C25:D25"/>
    <mergeCell ref="C26:D26"/>
    <mergeCell ref="C27:D27"/>
    <mergeCell ref="C28:D28"/>
    <mergeCell ref="E28:F28"/>
    <mergeCell ref="E27:F27"/>
    <mergeCell ref="E26:F26"/>
    <mergeCell ref="E25:F25"/>
    <mergeCell ref="E24:F24"/>
    <mergeCell ref="E33:F33"/>
    <mergeCell ref="E32:F32"/>
    <mergeCell ref="E31:F31"/>
    <mergeCell ref="E30:F30"/>
    <mergeCell ref="E29:F29"/>
    <mergeCell ref="E18:F18"/>
    <mergeCell ref="E17:F17"/>
    <mergeCell ref="E16:F16"/>
    <mergeCell ref="E15:F15"/>
    <mergeCell ref="E14:F14"/>
    <mergeCell ref="E23:F23"/>
    <mergeCell ref="E22:F22"/>
    <mergeCell ref="E21:F21"/>
    <mergeCell ref="E20:F20"/>
    <mergeCell ref="E19:F19"/>
    <mergeCell ref="G17:H17"/>
    <mergeCell ref="I17:J17"/>
    <mergeCell ref="G18:H18"/>
    <mergeCell ref="I18:J18"/>
    <mergeCell ref="G19:H19"/>
    <mergeCell ref="G14:H14"/>
    <mergeCell ref="I14:J14"/>
    <mergeCell ref="G15:H15"/>
    <mergeCell ref="I15:J15"/>
    <mergeCell ref="G16:H16"/>
    <mergeCell ref="I16:J16"/>
    <mergeCell ref="I22:J22"/>
    <mergeCell ref="I23:J23"/>
    <mergeCell ref="G22:H22"/>
    <mergeCell ref="G23:H23"/>
    <mergeCell ref="G24:H24"/>
    <mergeCell ref="I24:J24"/>
    <mergeCell ref="G20:H20"/>
    <mergeCell ref="G21:H21"/>
    <mergeCell ref="I19:J19"/>
    <mergeCell ref="I20:J20"/>
    <mergeCell ref="I21:J21"/>
    <mergeCell ref="I25:J25"/>
    <mergeCell ref="I26:J26"/>
    <mergeCell ref="I27:J27"/>
    <mergeCell ref="I28:J28"/>
    <mergeCell ref="I29:J29"/>
    <mergeCell ref="G25:H25"/>
    <mergeCell ref="G26:H26"/>
    <mergeCell ref="G27:H27"/>
    <mergeCell ref="G28:H28"/>
    <mergeCell ref="G29:H29"/>
    <mergeCell ref="B3:B4"/>
    <mergeCell ref="P2:P3"/>
    <mergeCell ref="B11:J12"/>
    <mergeCell ref="M31:N31"/>
    <mergeCell ref="M32:N32"/>
    <mergeCell ref="M33:N33"/>
    <mergeCell ref="M26:N26"/>
    <mergeCell ref="M27:N27"/>
    <mergeCell ref="M28:N28"/>
    <mergeCell ref="M29:N29"/>
    <mergeCell ref="M30:N30"/>
    <mergeCell ref="M21:N21"/>
    <mergeCell ref="M22:N22"/>
    <mergeCell ref="M23:N23"/>
    <mergeCell ref="M24:N24"/>
    <mergeCell ref="M25:N25"/>
    <mergeCell ref="G30:H30"/>
    <mergeCell ref="G31:H31"/>
    <mergeCell ref="G32:H32"/>
    <mergeCell ref="G33:H33"/>
    <mergeCell ref="I30:J30"/>
    <mergeCell ref="I31:J31"/>
    <mergeCell ref="I32:J32"/>
    <mergeCell ref="I33:J33"/>
  </mergeCells>
  <phoneticPr fontId="2" type="noConversion"/>
  <conditionalFormatting sqref="C4:H4">
    <cfRule type="expression" dxfId="47" priority="4" stopIfTrue="1">
      <formula>DAY(C4)&gt;8</formula>
    </cfRule>
  </conditionalFormatting>
  <conditionalFormatting sqref="C8:I10">
    <cfRule type="expression" dxfId="46" priority="3" stopIfTrue="1">
      <formula>AND(DAY(C8)&gt;=1,DAY(C8)&lt;=15)</formula>
    </cfRule>
  </conditionalFormatting>
  <conditionalFormatting sqref="C4:I9">
    <cfRule type="expression" dxfId="45" priority="15">
      <formula>VLOOKUP(DAY(C4),ΗμερομηνίεςΕργασιών,1,FALSE)=DAY(C4)</formula>
    </cfRule>
  </conditionalFormatting>
  <conditionalFormatting sqref="B14:J33">
    <cfRule type="expression" dxfId="44" priority="1">
      <formula>B14&lt;&gt;""</formula>
    </cfRule>
  </conditionalFormatting>
  <dataValidations count="1">
    <dataValidation allowBlank="1" showInputMessage="1" showErrorMessage="1" errorTitle="Invalid Year" error="Πληκτρολογήστε ένα έτος από το 1900 έως το 9999 ή χρησιμοποιήστε τη γραμμή κύλισης για να βρείτε ένα έτος." sqref="N2:N3" xr:uid="{00000000-0002-0000-0000-000000000000}"/>
  </dataValidations>
  <printOptions horizontalCentered="1" verticalCentered="1"/>
  <pageMargins left="0.5" right="0.5" top="0.5" bottom="0.5" header="0.3" footer="0.3"/>
  <pageSetup scale="91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34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20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IF(DAY(_1ηΚυρΟκτ)=1,_1ηΚυρΟκτ-6,_1ηΚυρΟκτ+1)</f>
        <v>44102</v>
      </c>
      <c r="D4" s="9">
        <f>IF(DAY(_1ηΚυρΟκτ)=1,_1ηΚυρΟκτ-5,_1ηΚυρΟκτ+2)</f>
        <v>44103</v>
      </c>
      <c r="E4" s="9">
        <f>IF(DAY(_1ηΚυρΟκτ)=1,_1ηΚυρΟκτ-4,_1ηΚυρΟκτ+3)</f>
        <v>44104</v>
      </c>
      <c r="F4" s="9">
        <f>IF(DAY(_1ηΚυρΟκτ)=1,_1ηΚυρΟκτ-3,_1ηΚυρΟκτ+4)</f>
        <v>44105</v>
      </c>
      <c r="G4" s="9">
        <f>IF(DAY(_1ηΚυρΟκτ)=1,_1ηΚυρΟκτ-2,_1ηΚυρΟκτ+5)</f>
        <v>44106</v>
      </c>
      <c r="H4" s="9">
        <f>IF(DAY(_1ηΚυρΟκτ)=1,_1ηΚυρΟκτ-1,_1ηΚυρΟκτ+6)</f>
        <v>44107</v>
      </c>
      <c r="I4" s="9">
        <f>IF(DAY(_1ηΚυρΟκτ)=1,_1ηΚυρΟκτ,_1ηΚυρΟκτ+7)</f>
        <v>44108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IF(DAY(_1ηΚυρΟκτ)=1,_1ηΚυρΟκτ+1,_1ηΚυρΟκτ+8)</f>
        <v>44109</v>
      </c>
      <c r="D5" s="9">
        <f>IF(DAY(_1ηΚυρΟκτ)=1,_1ηΚυρΟκτ+2,_1ηΚυρΟκτ+9)</f>
        <v>44110</v>
      </c>
      <c r="E5" s="9">
        <f>IF(DAY(_1ηΚυρΟκτ)=1,_1ηΚυρΟκτ+3,_1ηΚυρΟκτ+10)</f>
        <v>44111</v>
      </c>
      <c r="F5" s="9">
        <f>IF(DAY(_1ηΚυρΟκτ)=1,_1ηΚυρΟκτ+4,_1ηΚυρΟκτ+11)</f>
        <v>44112</v>
      </c>
      <c r="G5" s="9">
        <f>IF(DAY(_1ηΚυρΟκτ)=1,_1ηΚυρΟκτ+5,_1ηΚυρΟκτ+12)</f>
        <v>44113</v>
      </c>
      <c r="H5" s="9">
        <f>IF(DAY(_1ηΚυρΟκτ)=1,_1ηΚυρΟκτ+6,_1ηΚυρΟκτ+13)</f>
        <v>44114</v>
      </c>
      <c r="I5" s="9">
        <f>IF(DAY(_1ηΚυρΟκτ)=1,_1ηΚυρΟκτ+7,_1ηΚυρΟκτ+14)</f>
        <v>44115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IF(DAY(_1ηΚυρΟκτ)=1,_1ηΚυρΟκτ+8,_1ηΚυρΟκτ+15)</f>
        <v>44116</v>
      </c>
      <c r="D6" s="9">
        <f>IF(DAY(_1ηΚυρΟκτ)=1,_1ηΚυρΟκτ+9,_1ηΚυρΟκτ+16)</f>
        <v>44117</v>
      </c>
      <c r="E6" s="9">
        <f>IF(DAY(_1ηΚυρΟκτ)=1,_1ηΚυρΟκτ+10,_1ηΚυρΟκτ+17)</f>
        <v>44118</v>
      </c>
      <c r="F6" s="9">
        <f>IF(DAY(_1ηΚυρΟκτ)=1,_1ηΚυρΟκτ+11,_1ηΚυρΟκτ+18)</f>
        <v>44119</v>
      </c>
      <c r="G6" s="9">
        <f>IF(DAY(_1ηΚυρΟκτ)=1,_1ηΚυρΟκτ+12,_1ηΚυρΟκτ+19)</f>
        <v>44120</v>
      </c>
      <c r="H6" s="9">
        <f>IF(DAY(_1ηΚυρΟκτ)=1,_1ηΚυρΟκτ+13,_1ηΚυρΟκτ+20)</f>
        <v>44121</v>
      </c>
      <c r="I6" s="9">
        <f>IF(DAY(_1ηΚυρΟκτ)=1,_1ηΚυρΟκτ+14,_1ηΚυρΟκτ+21)</f>
        <v>44122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IF(DAY(_1ηΚυρΟκτ)=1,_1ηΚυρΟκτ+15,_1ηΚυρΟκτ+22)</f>
        <v>44123</v>
      </c>
      <c r="D7" s="9">
        <f>IF(DAY(_1ηΚυρΟκτ)=1,_1ηΚυρΟκτ+16,_1ηΚυρΟκτ+23)</f>
        <v>44124</v>
      </c>
      <c r="E7" s="9">
        <f>IF(DAY(_1ηΚυρΟκτ)=1,_1ηΚυρΟκτ+17,_1ηΚυρΟκτ+24)</f>
        <v>44125</v>
      </c>
      <c r="F7" s="9">
        <f>IF(DAY(_1ηΚυρΟκτ)=1,_1ηΚυρΟκτ+18,_1ηΚυρΟκτ+25)</f>
        <v>44126</v>
      </c>
      <c r="G7" s="9">
        <f>IF(DAY(_1ηΚυρΟκτ)=1,_1ηΚυρΟκτ+19,_1ηΚυρΟκτ+26)</f>
        <v>44127</v>
      </c>
      <c r="H7" s="9">
        <f>IF(DAY(_1ηΚυρΟκτ)=1,_1ηΚυρΟκτ+20,_1ηΚυρΟκτ+27)</f>
        <v>44128</v>
      </c>
      <c r="I7" s="9">
        <f>IF(DAY(_1ηΚυρΟκτ)=1,_1ηΚυρΟκτ+21,_1ηΚυρΟκτ+28)</f>
        <v>44129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IF(DAY(_1ηΚυρΟκτ)=1,_1ηΚυρΟκτ+22,_1ηΚυρΟκτ+29)</f>
        <v>44130</v>
      </c>
      <c r="D8" s="9">
        <f>IF(DAY(_1ηΚυρΟκτ)=1,_1ηΚυρΟκτ+23,_1ηΚυρΟκτ+30)</f>
        <v>44131</v>
      </c>
      <c r="E8" s="9">
        <f>IF(DAY(_1ηΚυρΟκτ)=1,_1ηΚυρΟκτ+24,_1ηΚυρΟκτ+31)</f>
        <v>44132</v>
      </c>
      <c r="F8" s="9">
        <f>IF(DAY(_1ηΚυρΟκτ)=1,_1ηΚυρΟκτ+25,_1ηΚυρΟκτ+32)</f>
        <v>44133</v>
      </c>
      <c r="G8" s="9">
        <f>IF(DAY(_1ηΚυρΟκτ)=1,_1ηΚυρΟκτ+26,_1ηΚυρΟκτ+33)</f>
        <v>44134</v>
      </c>
      <c r="H8" s="9">
        <f>IF(DAY(_1ηΚυρΟκτ)=1,_1ηΚυρΟκτ+27,_1ηΚυρΟκτ+34)</f>
        <v>44135</v>
      </c>
      <c r="I8" s="9">
        <f>IF(DAY(_1ηΚυρΟκτ)=1,_1ηΚυρΟκτ+28,_1ηΚυρΟκτ+35)</f>
        <v>44136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IF(DAY(_1ηΚυρΟκτ)=1,_1ηΚυρΟκτ+29,_1ηΚυρΟκτ+36)</f>
        <v>44137</v>
      </c>
      <c r="D9" s="9">
        <f>IF(DAY(_1ηΚυρΟκτ)=1,_1ηΚυρΟκτ+30,_1ηΚυρΟκτ+37)</f>
        <v>44138</v>
      </c>
      <c r="E9" s="9">
        <f>IF(DAY(_1ηΚυρΟκτ)=1,_1ηΚυρΟκτ+31,_1ηΚυρΟκτ+38)</f>
        <v>44139</v>
      </c>
      <c r="F9" s="9">
        <f>IF(DAY(_1ηΚυρΟκτ)=1,_1ηΚυρΟκτ+32,_1ηΚυρΟκτ+39)</f>
        <v>44140</v>
      </c>
      <c r="G9" s="9">
        <f>IF(DAY(_1ηΚυρΟκτ)=1,_1ηΚυρΟκτ+33,_1ηΚυρΟκτ+40)</f>
        <v>44141</v>
      </c>
      <c r="H9" s="9">
        <f>IF(DAY(_1ηΚυρΟκτ)=1,_1ηΚυρΟκτ+34,_1ηΚυρΟκτ+41)</f>
        <v>44142</v>
      </c>
      <c r="I9" s="9">
        <f>IF(DAY(_1ηΚυρΟκτ)=1,_1ηΚυρΟκτ+35,_1ηΚυρΟκτ+42)</f>
        <v>44143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1" priority="3" stopIfTrue="1">
      <formula>DAY(C4)&gt;8</formula>
    </cfRule>
  </conditionalFormatting>
  <conditionalFormatting sqref="C8:I10">
    <cfRule type="expression" dxfId="10" priority="2" stopIfTrue="1">
      <formula>AND(DAY(C8)&gt;=1,DAY(C8)&lt;=15)</formula>
    </cfRule>
  </conditionalFormatting>
  <conditionalFormatting sqref="C4:I9">
    <cfRule type="expression" dxfId="9" priority="4">
      <formula>VLOOKUP(DAY(C4),ΗμερομηνίεςΕργασιών,1,FALSE)=DAY(C4)</formula>
    </cfRule>
  </conditionalFormatting>
  <conditionalFormatting sqref="B14:J33">
    <cfRule type="expression" dxfId="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35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20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IF(DAY(_1ηΚυρΝοε)=1,_1ηΚυρΝοε-6,_1ηΚυρΝοε+1)</f>
        <v>44130</v>
      </c>
      <c r="D4" s="9">
        <f>IF(DAY(_1ηΚυρΝοε)=1,_1ηΚυρΝοε-5,_1ηΚυρΝοε+2)</f>
        <v>44131</v>
      </c>
      <c r="E4" s="9">
        <f>IF(DAY(_1ηΚυρΝοε)=1,_1ηΚυρΝοε-4,_1ηΚυρΝοε+3)</f>
        <v>44132</v>
      </c>
      <c r="F4" s="9">
        <f>IF(DAY(_1ηΚυρΝοε)=1,_1ηΚυρΝοε-3,_1ηΚυρΝοε+4)</f>
        <v>44133</v>
      </c>
      <c r="G4" s="9">
        <f>IF(DAY(_1ηΚυρΝοε)=1,_1ηΚυρΝοε-2,_1ηΚυρΝοε+5)</f>
        <v>44134</v>
      </c>
      <c r="H4" s="9">
        <f>IF(DAY(_1ηΚυρΝοε)=1,_1ηΚυρΝοε-1,_1ηΚυρΝοε+6)</f>
        <v>44135</v>
      </c>
      <c r="I4" s="9">
        <f>IF(DAY(_1ηΚυρΝοε)=1,_1ηΚυρΝοε,_1ηΚυρΝοε+7)</f>
        <v>44136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IF(DAY(_1ηΚυρΝοε)=1,_1ηΚυρΝοε+1,_1ηΚυρΝοε+8)</f>
        <v>44137</v>
      </c>
      <c r="D5" s="9">
        <f>IF(DAY(_1ηΚυρΝοε)=1,_1ηΚυρΝοε+2,_1ηΚυρΝοε+9)</f>
        <v>44138</v>
      </c>
      <c r="E5" s="9">
        <f>IF(DAY(_1ηΚυρΝοε)=1,_1ηΚυρΝοε+3,_1ηΚυρΝοε+10)</f>
        <v>44139</v>
      </c>
      <c r="F5" s="9">
        <f>IF(DAY(_1ηΚυρΝοε)=1,_1ηΚυρΝοε+4,_1ηΚυρΝοε+11)</f>
        <v>44140</v>
      </c>
      <c r="G5" s="9">
        <f>IF(DAY(_1ηΚυρΝοε)=1,_1ηΚυρΝοε+5,_1ηΚυρΝοε+12)</f>
        <v>44141</v>
      </c>
      <c r="H5" s="9">
        <f>IF(DAY(_1ηΚυρΝοε)=1,_1ηΚυρΝοε+6,_1ηΚυρΝοε+13)</f>
        <v>44142</v>
      </c>
      <c r="I5" s="9">
        <f>IF(DAY(_1ηΚυρΝοε)=1,_1ηΚυρΝοε+7,_1ηΚυρΝοε+14)</f>
        <v>44143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IF(DAY(_1ηΚυρΝοε)=1,_1ηΚυρΝοε+8,_1ηΚυρΝοε+15)</f>
        <v>44144</v>
      </c>
      <c r="D6" s="9">
        <f>IF(DAY(_1ηΚυρΝοε)=1,_1ηΚυρΝοε+9,_1ηΚυρΝοε+16)</f>
        <v>44145</v>
      </c>
      <c r="E6" s="9">
        <f>IF(DAY(_1ηΚυρΝοε)=1,_1ηΚυρΝοε+10,_1ηΚυρΝοε+17)</f>
        <v>44146</v>
      </c>
      <c r="F6" s="9">
        <f>IF(DAY(_1ηΚυρΝοε)=1,_1ηΚυρΝοε+11,_1ηΚυρΝοε+18)</f>
        <v>44147</v>
      </c>
      <c r="G6" s="9">
        <f>IF(DAY(_1ηΚυρΝοε)=1,_1ηΚυρΝοε+12,_1ηΚυρΝοε+19)</f>
        <v>44148</v>
      </c>
      <c r="H6" s="9">
        <f>IF(DAY(_1ηΚυρΝοε)=1,_1ηΚυρΝοε+13,_1ηΚυρΝοε+20)</f>
        <v>44149</v>
      </c>
      <c r="I6" s="9">
        <f>IF(DAY(_1ηΚυρΝοε)=1,_1ηΚυρΝοε+14,_1ηΚυρΝοε+21)</f>
        <v>44150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IF(DAY(_1ηΚυρΝοε)=1,_1ηΚυρΝοε+15,_1ηΚυρΝοε+22)</f>
        <v>44151</v>
      </c>
      <c r="D7" s="9">
        <f>IF(DAY(_1ηΚυρΝοε)=1,_1ηΚυρΝοε+16,_1ηΚυρΝοε+23)</f>
        <v>44152</v>
      </c>
      <c r="E7" s="9">
        <f>IF(DAY(_1ηΚυρΝοε)=1,_1ηΚυρΝοε+17,_1ηΚυρΝοε+24)</f>
        <v>44153</v>
      </c>
      <c r="F7" s="9">
        <f>IF(DAY(_1ηΚυρΝοε)=1,_1ηΚυρΝοε+18,_1ηΚυρΝοε+25)</f>
        <v>44154</v>
      </c>
      <c r="G7" s="9">
        <f>IF(DAY(_1ηΚυρΝοε)=1,_1ηΚυρΝοε+19,_1ηΚυρΝοε+26)</f>
        <v>44155</v>
      </c>
      <c r="H7" s="9">
        <f>IF(DAY(_1ηΚυρΝοε)=1,_1ηΚυρΝοε+20,_1ηΚυρΝοε+27)</f>
        <v>44156</v>
      </c>
      <c r="I7" s="9">
        <f>IF(DAY(_1ηΚυρΝοε)=1,_1ηΚυρΝοε+21,_1ηΚυρΝοε+28)</f>
        <v>44157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IF(DAY(_1ηΚυρΝοε)=1,_1ηΚυρΝοε+22,_1ηΚυρΝοε+29)</f>
        <v>44158</v>
      </c>
      <c r="D8" s="9">
        <f>IF(DAY(_1ηΚυρΝοε)=1,_1ηΚυρΝοε+23,_1ηΚυρΝοε+30)</f>
        <v>44159</v>
      </c>
      <c r="E8" s="9">
        <f>IF(DAY(_1ηΚυρΝοε)=1,_1ηΚυρΝοε+24,_1ηΚυρΝοε+31)</f>
        <v>44160</v>
      </c>
      <c r="F8" s="9">
        <f>IF(DAY(_1ηΚυρΝοε)=1,_1ηΚυρΝοε+25,_1ηΚυρΝοε+32)</f>
        <v>44161</v>
      </c>
      <c r="G8" s="9">
        <f>IF(DAY(_1ηΚυρΝοε)=1,_1ηΚυρΝοε+26,_1ηΚυρΝοε+33)</f>
        <v>44162</v>
      </c>
      <c r="H8" s="9">
        <f>IF(DAY(_1ηΚυρΝοε)=1,_1ηΚυρΝοε+27,_1ηΚυρΝοε+34)</f>
        <v>44163</v>
      </c>
      <c r="I8" s="9">
        <f>IF(DAY(_1ηΚυρΝοε)=1,_1ηΚυρΝοε+28,_1ηΚυρΝοε+35)</f>
        <v>44164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IF(DAY(_1ηΚυρΝοε)=1,_1ηΚυρΝοε+29,_1ηΚυρΝοε+36)</f>
        <v>44165</v>
      </c>
      <c r="D9" s="9">
        <f>IF(DAY(_1ηΚυρΝοε)=1,_1ηΚυρΝοε+30,_1ηΚυρΝοε+37)</f>
        <v>44166</v>
      </c>
      <c r="E9" s="9">
        <f>IF(DAY(_1ηΚυρΝοε)=1,_1ηΚυρΝοε+31,_1ηΚυρΝοε+38)</f>
        <v>44167</v>
      </c>
      <c r="F9" s="9">
        <f>IF(DAY(_1ηΚυρΝοε)=1,_1ηΚυρΝοε+32,_1ηΚυρΝοε+39)</f>
        <v>44168</v>
      </c>
      <c r="G9" s="9">
        <f>IF(DAY(_1ηΚυρΝοε)=1,_1ηΚυρΝοε+33,_1ηΚυρΝοε+40)</f>
        <v>44169</v>
      </c>
      <c r="H9" s="9">
        <f>IF(DAY(_1ηΚυρΝοε)=1,_1ηΚυρΝοε+34,_1ηΚυρΝοε+41)</f>
        <v>44170</v>
      </c>
      <c r="I9" s="9">
        <f>IF(DAY(_1ηΚυρΝοε)=1,_1ηΚυρΝοε+35,_1ηΚυρΝοε+42)</f>
        <v>44171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7" priority="3" stopIfTrue="1">
      <formula>DAY(C4)&gt;8</formula>
    </cfRule>
  </conditionalFormatting>
  <conditionalFormatting sqref="C8:I10">
    <cfRule type="expression" dxfId="6" priority="2" stopIfTrue="1">
      <formula>AND(DAY(C8)&gt;=1,DAY(C8)&lt;=15)</formula>
    </cfRule>
  </conditionalFormatting>
  <conditionalFormatting sqref="C4:I9">
    <cfRule type="expression" dxfId="5" priority="4">
      <formula>VLOOKUP(DAY(C4),ΗμερομηνίεςΕργασιών,1,FALSE)=DAY(C4)</formula>
    </cfRule>
  </conditionalFormatting>
  <conditionalFormatting sqref="B14:J33">
    <cfRule type="expression" dxfId="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36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20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IF(DAY(_1ηΚυρΔεκ)=1,_1ηΚυρΔεκ-6,_1ηΚυρΔεκ+1)</f>
        <v>44165</v>
      </c>
      <c r="D4" s="9">
        <f>IF(DAY(_1ηΚυρΔεκ)=1,_1ηΚυρΔεκ-5,_1ηΚυρΔεκ+2)</f>
        <v>44166</v>
      </c>
      <c r="E4" s="9">
        <f>IF(DAY(_1ηΚυρΔεκ)=1,_1ηΚυρΔεκ-4,_1ηΚυρΔεκ+3)</f>
        <v>44167</v>
      </c>
      <c r="F4" s="9">
        <f>IF(DAY(_1ηΚυρΔεκ)=1,_1ηΚυρΔεκ-3,_1ηΚυρΔεκ+4)</f>
        <v>44168</v>
      </c>
      <c r="G4" s="9">
        <f>IF(DAY(_1ηΚυρΔεκ)=1,_1ηΚυρΔεκ-2,_1ηΚυρΔεκ+5)</f>
        <v>44169</v>
      </c>
      <c r="H4" s="9">
        <f>IF(DAY(_1ηΚυρΔεκ)=1,_1ηΚυρΔεκ-1,_1ηΚυρΔεκ+6)</f>
        <v>44170</v>
      </c>
      <c r="I4" s="9">
        <f>IF(DAY(_1ηΚυρΔεκ)=1,_1ηΚυρΔεκ,_1ηΚυρΔεκ+7)</f>
        <v>44171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IF(DAY(_1ηΚυρΔεκ)=1,_1ηΚυρΔεκ+1,_1ηΚυρΔεκ+8)</f>
        <v>44172</v>
      </c>
      <c r="D5" s="9">
        <f>IF(DAY(_1ηΚυρΔεκ)=1,_1ηΚυρΔεκ+2,_1ηΚυρΔεκ+9)</f>
        <v>44173</v>
      </c>
      <c r="E5" s="9">
        <f>IF(DAY(_1ηΚυρΔεκ)=1,_1ηΚυρΔεκ+3,_1ηΚυρΔεκ+10)</f>
        <v>44174</v>
      </c>
      <c r="F5" s="9">
        <f>IF(DAY(_1ηΚυρΔεκ)=1,_1ηΚυρΔεκ+4,_1ηΚυρΔεκ+11)</f>
        <v>44175</v>
      </c>
      <c r="G5" s="9">
        <f>IF(DAY(_1ηΚυρΔεκ)=1,_1ηΚυρΔεκ+5,_1ηΚυρΔεκ+12)</f>
        <v>44176</v>
      </c>
      <c r="H5" s="9">
        <f>IF(DAY(_1ηΚυρΔεκ)=1,_1ηΚυρΔεκ+6,_1ηΚυρΔεκ+13)</f>
        <v>44177</v>
      </c>
      <c r="I5" s="9">
        <f>IF(DAY(_1ηΚυρΔεκ)=1,_1ηΚυρΔεκ+7,_1ηΚυρΔεκ+14)</f>
        <v>44178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IF(DAY(_1ηΚυρΔεκ)=1,_1ηΚυρΔεκ+8,_1ηΚυρΔεκ+15)</f>
        <v>44179</v>
      </c>
      <c r="D6" s="9">
        <f>IF(DAY(_1ηΚυρΔεκ)=1,_1ηΚυρΔεκ+9,_1ηΚυρΔεκ+16)</f>
        <v>44180</v>
      </c>
      <c r="E6" s="9">
        <f>IF(DAY(_1ηΚυρΔεκ)=1,_1ηΚυρΔεκ+10,_1ηΚυρΔεκ+17)</f>
        <v>44181</v>
      </c>
      <c r="F6" s="9">
        <f>IF(DAY(_1ηΚυρΔεκ)=1,_1ηΚυρΔεκ+11,_1ηΚυρΔεκ+18)</f>
        <v>44182</v>
      </c>
      <c r="G6" s="9">
        <f>IF(DAY(_1ηΚυρΔεκ)=1,_1ηΚυρΔεκ+12,_1ηΚυρΔεκ+19)</f>
        <v>44183</v>
      </c>
      <c r="H6" s="9">
        <f>IF(DAY(_1ηΚυρΔεκ)=1,_1ηΚυρΔεκ+13,_1ηΚυρΔεκ+20)</f>
        <v>44184</v>
      </c>
      <c r="I6" s="9">
        <f>IF(DAY(_1ηΚυρΔεκ)=1,_1ηΚυρΔεκ+14,_1ηΚυρΔεκ+21)</f>
        <v>44185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IF(DAY(_1ηΚυρΔεκ)=1,_1ηΚυρΔεκ+15,_1ηΚυρΔεκ+22)</f>
        <v>44186</v>
      </c>
      <c r="D7" s="9">
        <f>IF(DAY(_1ηΚυρΔεκ)=1,_1ηΚυρΔεκ+16,_1ηΚυρΔεκ+23)</f>
        <v>44187</v>
      </c>
      <c r="E7" s="9">
        <f>IF(DAY(_1ηΚυρΔεκ)=1,_1ηΚυρΔεκ+17,_1ηΚυρΔεκ+24)</f>
        <v>44188</v>
      </c>
      <c r="F7" s="9">
        <f>IF(DAY(_1ηΚυρΔεκ)=1,_1ηΚυρΔεκ+18,_1ηΚυρΔεκ+25)</f>
        <v>44189</v>
      </c>
      <c r="G7" s="9">
        <f>IF(DAY(_1ηΚυρΔεκ)=1,_1ηΚυρΔεκ+19,_1ηΚυρΔεκ+26)</f>
        <v>44190</v>
      </c>
      <c r="H7" s="9">
        <f>IF(DAY(_1ηΚυρΔεκ)=1,_1ηΚυρΔεκ+20,_1ηΚυρΔεκ+27)</f>
        <v>44191</v>
      </c>
      <c r="I7" s="9">
        <f>IF(DAY(_1ηΚυρΔεκ)=1,_1ηΚυρΔεκ+21,_1ηΚυρΔεκ+28)</f>
        <v>44192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IF(DAY(_1ηΚυρΔεκ)=1,_1ηΚυρΔεκ+22,_1ηΚυρΔεκ+29)</f>
        <v>44193</v>
      </c>
      <c r="D8" s="9">
        <f>IF(DAY(_1ηΚυρΔεκ)=1,_1ηΚυρΔεκ+23,_1ηΚυρΔεκ+30)</f>
        <v>44194</v>
      </c>
      <c r="E8" s="9">
        <f>IF(DAY(_1ηΚυρΔεκ)=1,_1ηΚυρΔεκ+24,_1ηΚυρΔεκ+31)</f>
        <v>44195</v>
      </c>
      <c r="F8" s="9">
        <f>IF(DAY(_1ηΚυρΔεκ)=1,_1ηΚυρΔεκ+25,_1ηΚυρΔεκ+32)</f>
        <v>44196</v>
      </c>
      <c r="G8" s="9">
        <f>IF(DAY(_1ηΚυρΔεκ)=1,_1ηΚυρΔεκ+26,_1ηΚυρΔεκ+33)</f>
        <v>44197</v>
      </c>
      <c r="H8" s="9">
        <f>IF(DAY(_1ηΚυρΔεκ)=1,_1ηΚυρΔεκ+27,_1ηΚυρΔεκ+34)</f>
        <v>44198</v>
      </c>
      <c r="I8" s="9">
        <f>IF(DAY(_1ηΚυρΔεκ)=1,_1ηΚυρΔεκ+28,_1ηΚυρΔεκ+35)</f>
        <v>44199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IF(DAY(_1ηΚυρΔεκ)=1,_1ηΚυρΔεκ+29,_1ηΚυρΔεκ+36)</f>
        <v>44200</v>
      </c>
      <c r="D9" s="9">
        <f>IF(DAY(_1ηΚυρΔεκ)=1,_1ηΚυρΔεκ+30,_1ηΚυρΔεκ+37)</f>
        <v>44201</v>
      </c>
      <c r="E9" s="9">
        <f>IF(DAY(_1ηΚυρΔεκ)=1,_1ηΚυρΔεκ+31,_1ηΚυρΔεκ+38)</f>
        <v>44202</v>
      </c>
      <c r="F9" s="9">
        <f>IF(DAY(_1ηΚυρΔεκ)=1,_1ηΚυρΔεκ+32,_1ηΚυρΔεκ+39)</f>
        <v>44203</v>
      </c>
      <c r="G9" s="9">
        <f>IF(DAY(_1ηΚυρΔεκ)=1,_1ηΚυρΔεκ+33,_1ηΚυρΔεκ+40)</f>
        <v>44204</v>
      </c>
      <c r="H9" s="9">
        <f>IF(DAY(_1ηΚυρΔεκ)=1,_1ηΚυρΔεκ+34,_1ηΚυρΔεκ+41)</f>
        <v>44205</v>
      </c>
      <c r="I9" s="9">
        <f>IF(DAY(_1ηΚυρΔεκ)=1,_1ηΚυρΔεκ+35,_1ηΚυρΔεκ+42)</f>
        <v>44206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" priority="3" stopIfTrue="1">
      <formula>DAY(C4)&gt;8</formula>
    </cfRule>
  </conditionalFormatting>
  <conditionalFormatting sqref="C8:I10">
    <cfRule type="expression" dxfId="2" priority="2" stopIfTrue="1">
      <formula>AND(DAY(C8)&gt;=1,DAY(C8)&lt;=15)</formula>
    </cfRule>
  </conditionalFormatting>
  <conditionalFormatting sqref="C4:I9">
    <cfRule type="expression" dxfId="1" priority="4">
      <formula>VLOOKUP(DAY(C4),ΗμερομηνίεςΕργασιών,1,FALSE)=DAY(C4)</formula>
    </cfRule>
  </conditionalFormatting>
  <conditionalFormatting sqref="B14:J33">
    <cfRule type="expression" dxfId="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26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IF(DAY(_1ηΚυρΦεβ)=1,_1ηΚυρΦεβ-6,_1ηΚυρΦεβ+1)</f>
        <v>43857</v>
      </c>
      <c r="D4" s="9">
        <f>IF(DAY(_1ηΚυρΦεβ)=1,_1ηΚυρΦεβ-5,_1ηΚυρΦεβ+2)</f>
        <v>43858</v>
      </c>
      <c r="E4" s="9">
        <f>IF(DAY(_1ηΚυρΦεβ)=1,_1ηΚυρΦεβ-4,_1ηΚυρΦεβ+3)</f>
        <v>43859</v>
      </c>
      <c r="F4" s="9">
        <f>IF(DAY(_1ηΚυρΦεβ)=1,_1ηΚυρΦεβ-3,_1ηΚυρΦεβ+4)</f>
        <v>43860</v>
      </c>
      <c r="G4" s="9">
        <f>IF(DAY(_1ηΚυρΦεβ)=1,_1ηΚυρΦεβ-2,_1ηΚυρΦεβ+5)</f>
        <v>43861</v>
      </c>
      <c r="H4" s="9">
        <f>IF(DAY(_1ηΚυρΦεβ)=1,_1ηΚυρΦεβ-1,_1ηΚυρΦεβ+6)</f>
        <v>43862</v>
      </c>
      <c r="I4" s="9">
        <f>IF(DAY(_1ηΚυρΦεβ)=1,_1ηΚυρΦεβ,_1ηΚυρΦεβ+7)</f>
        <v>43863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IF(DAY(_1ηΚυρΦεβ)=1,_1ηΚυρΦεβ+1,_1ηΚυρΦεβ+8)</f>
        <v>43864</v>
      </c>
      <c r="D5" s="9">
        <f>IF(DAY(_1ηΚυρΦεβ)=1,_1ηΚυρΦεβ+2,_1ηΚυρΦεβ+9)</f>
        <v>43865</v>
      </c>
      <c r="E5" s="9">
        <f>IF(DAY(_1ηΚυρΦεβ)=1,_1ηΚυρΦεβ+3,_1ηΚυρΦεβ+10)</f>
        <v>43866</v>
      </c>
      <c r="F5" s="9">
        <f>IF(DAY(_1ηΚυρΦεβ)=1,_1ηΚυρΦεβ+4,_1ηΚυρΦεβ+11)</f>
        <v>43867</v>
      </c>
      <c r="G5" s="9">
        <f>IF(DAY(_1ηΚυρΦεβ)=1,_1ηΚυρΦεβ+5,_1ηΚυρΦεβ+12)</f>
        <v>43868</v>
      </c>
      <c r="H5" s="9">
        <f>IF(DAY(_1ηΚυρΦεβ)=1,_1ηΚυρΦεβ+6,_1ηΚυρΦεβ+13)</f>
        <v>43869</v>
      </c>
      <c r="I5" s="9">
        <f>IF(DAY(_1ηΚυρΦεβ)=1,_1ηΚυρΦεβ+7,_1ηΚυρΦεβ+14)</f>
        <v>43870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IF(DAY(_1ηΚυρΦεβ)=1,_1ηΚυρΦεβ+8,_1ηΚυρΦεβ+15)</f>
        <v>43871</v>
      </c>
      <c r="D6" s="9">
        <f>IF(DAY(_1ηΚυρΦεβ)=1,_1ηΚυρΦεβ+9,_1ηΚυρΦεβ+16)</f>
        <v>43872</v>
      </c>
      <c r="E6" s="9">
        <f>IF(DAY(_1ηΚυρΦεβ)=1,_1ηΚυρΦεβ+10,_1ηΚυρΦεβ+17)</f>
        <v>43873</v>
      </c>
      <c r="F6" s="9">
        <f>IF(DAY(_1ηΚυρΦεβ)=1,_1ηΚυρΦεβ+11,_1ηΚυρΦεβ+18)</f>
        <v>43874</v>
      </c>
      <c r="G6" s="9">
        <f>IF(DAY(_1ηΚυρΦεβ)=1,_1ηΚυρΦεβ+12,_1ηΚυρΦεβ+19)</f>
        <v>43875</v>
      </c>
      <c r="H6" s="9">
        <f>IF(DAY(_1ηΚυρΦεβ)=1,_1ηΚυρΦεβ+13,_1ηΚυρΦεβ+20)</f>
        <v>43876</v>
      </c>
      <c r="I6" s="9">
        <f>IF(DAY(_1ηΚυρΦεβ)=1,_1ηΚυρΦεβ+14,_1ηΚυρΦεβ+21)</f>
        <v>43877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IF(DAY(_1ηΚυρΦεβ)=1,_1ηΚυρΦεβ+15,_1ηΚυρΦεβ+22)</f>
        <v>43878</v>
      </c>
      <c r="D7" s="9">
        <f>IF(DAY(_1ηΚυρΦεβ)=1,_1ηΚυρΦεβ+16,_1ηΚυρΦεβ+23)</f>
        <v>43879</v>
      </c>
      <c r="E7" s="9">
        <f>IF(DAY(_1ηΚυρΦεβ)=1,_1ηΚυρΦεβ+17,_1ηΚυρΦεβ+24)</f>
        <v>43880</v>
      </c>
      <c r="F7" s="9">
        <f>IF(DAY(_1ηΚυρΦεβ)=1,_1ηΚυρΦεβ+18,_1ηΚυρΦεβ+25)</f>
        <v>43881</v>
      </c>
      <c r="G7" s="9">
        <f>IF(DAY(_1ηΚυρΦεβ)=1,_1ηΚυρΦεβ+19,_1ηΚυρΦεβ+26)</f>
        <v>43882</v>
      </c>
      <c r="H7" s="9">
        <f>IF(DAY(_1ηΚυρΦεβ)=1,_1ηΚυρΦεβ+20,_1ηΚυρΦεβ+27)</f>
        <v>43883</v>
      </c>
      <c r="I7" s="9">
        <f>IF(DAY(_1ηΚυρΦεβ)=1,_1ηΚυρΦεβ+21,_1ηΚυρΦεβ+28)</f>
        <v>43884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IF(DAY(_1ηΚυρΦεβ)=1,_1ηΚυρΦεβ+22,_1ηΚυρΦεβ+29)</f>
        <v>43885</v>
      </c>
      <c r="D8" s="9">
        <f>IF(DAY(_1ηΚυρΦεβ)=1,_1ηΚυρΦεβ+23,_1ηΚυρΦεβ+30)</f>
        <v>43886</v>
      </c>
      <c r="E8" s="9">
        <f>IF(DAY(_1ηΚυρΦεβ)=1,_1ηΚυρΦεβ+24,_1ηΚυρΦεβ+31)</f>
        <v>43887</v>
      </c>
      <c r="F8" s="9">
        <f>IF(DAY(_1ηΚυρΦεβ)=1,_1ηΚυρΦεβ+25,_1ηΚυρΦεβ+32)</f>
        <v>43888</v>
      </c>
      <c r="G8" s="9">
        <f>IF(DAY(_1ηΚυρΦεβ)=1,_1ηΚυρΦεβ+26,_1ηΚυρΦεβ+33)</f>
        <v>43889</v>
      </c>
      <c r="H8" s="9">
        <f>IF(DAY(_1ηΚυρΦεβ)=1,_1ηΚυρΦεβ+27,_1ηΚυρΦεβ+34)</f>
        <v>43890</v>
      </c>
      <c r="I8" s="9">
        <f>IF(DAY(_1ηΚυρΦεβ)=1,_1ηΚυρΦεβ+28,_1ηΚυρΦεβ+35)</f>
        <v>43891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IF(DAY(_1ηΚυρΦεβ)=1,_1ηΚυρΦεβ+29,_1ηΚυρΦεβ+36)</f>
        <v>43892</v>
      </c>
      <c r="D9" s="9">
        <f>IF(DAY(_1ηΚυρΦεβ)=1,_1ηΚυρΦεβ+30,_1ηΚυρΦεβ+37)</f>
        <v>43893</v>
      </c>
      <c r="E9" s="9">
        <f>IF(DAY(_1ηΚυρΦεβ)=1,_1ηΚυρΦεβ+31,_1ηΚυρΦεβ+38)</f>
        <v>43894</v>
      </c>
      <c r="F9" s="9">
        <f>IF(DAY(_1ηΚυρΦεβ)=1,_1ηΚυρΦεβ+32,_1ηΚυρΦεβ+39)</f>
        <v>43895</v>
      </c>
      <c r="G9" s="9">
        <f>IF(DAY(_1ηΚυρΦεβ)=1,_1ηΚυρΦεβ+33,_1ηΚυρΦεβ+40)</f>
        <v>43896</v>
      </c>
      <c r="H9" s="9">
        <f>IF(DAY(_1ηΚυρΦεβ)=1,_1ηΚυρΦεβ+34,_1ηΚυρΦεβ+41)</f>
        <v>43897</v>
      </c>
      <c r="I9" s="9">
        <f>IF(DAY(_1ηΚυρΦεβ)=1,_1ηΚυρΦεβ+35,_1ηΚυρΦεβ+42)</f>
        <v>43898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43" priority="3" stopIfTrue="1">
      <formula>DAY(C4)&gt;8</formula>
    </cfRule>
  </conditionalFormatting>
  <conditionalFormatting sqref="C8:I10">
    <cfRule type="expression" dxfId="42" priority="2" stopIfTrue="1">
      <formula>AND(DAY(C8)&gt;=1,DAY(C8)&lt;=15)</formula>
    </cfRule>
  </conditionalFormatting>
  <conditionalFormatting sqref="C4:I9">
    <cfRule type="expression" dxfId="41" priority="4">
      <formula>VLOOKUP(DAY(C4),ΗμερομηνίεςΕργασιών,1,FALSE)=DAY(C4)</formula>
    </cfRule>
  </conditionalFormatting>
  <conditionalFormatting sqref="B14:J33">
    <cfRule type="expression" dxfId="4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27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28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IF(DAY(_1ηΚυρΜαρ)=1,_1ηΚυρΜαρ-6,_1ηΚυρΜαρ+1)</f>
        <v>43885</v>
      </c>
      <c r="D4" s="9">
        <f>IF(DAY(_1ηΚυρΜαρ)=1,_1ηΚυρΜαρ-5,_1ηΚυρΜαρ+2)</f>
        <v>43886</v>
      </c>
      <c r="E4" s="9">
        <f>IF(DAY(_1ηΚυρΜαρ)=1,_1ηΚυρΜαρ-4,_1ηΚυρΜαρ+3)</f>
        <v>43887</v>
      </c>
      <c r="F4" s="9">
        <f>IF(DAY(_1ηΚυρΜαρ)=1,_1ηΚυρΜαρ-3,_1ηΚυρΜαρ+4)</f>
        <v>43888</v>
      </c>
      <c r="G4" s="9">
        <f>IF(DAY(_1ηΚυρΜαρ)=1,_1ηΚυρΜαρ-2,_1ηΚυρΜαρ+5)</f>
        <v>43889</v>
      </c>
      <c r="H4" s="9">
        <f>IF(DAY(_1ηΚυρΜαρ)=1,_1ηΚυρΜαρ-1,_1ηΚυρΜαρ+6)</f>
        <v>43890</v>
      </c>
      <c r="I4" s="9">
        <f>IF(DAY(_1ηΚυρΜαρ)=1,_1ηΚυρΜαρ,_1ηΚυρΜαρ+7)</f>
        <v>43891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IF(DAY(_1ηΚυρΜαρ)=1,_1ηΚυρΜαρ+1,_1ηΚυρΜαρ+8)</f>
        <v>43892</v>
      </c>
      <c r="D5" s="9">
        <f>IF(DAY(_1ηΚυρΜαρ)=1,_1ηΚυρΜαρ+2,_1ηΚυρΜαρ+9)</f>
        <v>43893</v>
      </c>
      <c r="E5" s="9">
        <f>IF(DAY(_1ηΚυρΜαρ)=1,_1ηΚυρΜαρ+3,_1ηΚυρΜαρ+10)</f>
        <v>43894</v>
      </c>
      <c r="F5" s="9">
        <f>IF(DAY(_1ηΚυρΜαρ)=1,_1ηΚυρΜαρ+4,_1ηΚυρΜαρ+11)</f>
        <v>43895</v>
      </c>
      <c r="G5" s="9">
        <f>IF(DAY(_1ηΚυρΜαρ)=1,_1ηΚυρΜαρ+5,_1ηΚυρΜαρ+12)</f>
        <v>43896</v>
      </c>
      <c r="H5" s="9">
        <f>IF(DAY(_1ηΚυρΜαρ)=1,_1ηΚυρΜαρ+6,_1ηΚυρΜαρ+13)</f>
        <v>43897</v>
      </c>
      <c r="I5" s="9">
        <f>IF(DAY(_1ηΚυρΜαρ)=1,_1ηΚυρΜαρ+7,_1ηΚυρΜαρ+14)</f>
        <v>43898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IF(DAY(_1ηΚυρΜαρ)=1,_1ηΚυρΜαρ+8,_1ηΚυρΜαρ+15)</f>
        <v>43899</v>
      </c>
      <c r="D6" s="9">
        <f>IF(DAY(_1ηΚυρΜαρ)=1,_1ηΚυρΜαρ+9,_1ηΚυρΜαρ+16)</f>
        <v>43900</v>
      </c>
      <c r="E6" s="9">
        <f>IF(DAY(_1ηΚυρΜαρ)=1,_1ηΚυρΜαρ+10,_1ηΚυρΜαρ+17)</f>
        <v>43901</v>
      </c>
      <c r="F6" s="9">
        <f>IF(DAY(_1ηΚυρΜαρ)=1,_1ηΚυρΜαρ+11,_1ηΚυρΜαρ+18)</f>
        <v>43902</v>
      </c>
      <c r="G6" s="9">
        <f>IF(DAY(_1ηΚυρΜαρ)=1,_1ηΚυρΜαρ+12,_1ηΚυρΜαρ+19)</f>
        <v>43903</v>
      </c>
      <c r="H6" s="9">
        <f>IF(DAY(_1ηΚυρΜαρ)=1,_1ηΚυρΜαρ+13,_1ηΚυρΜαρ+20)</f>
        <v>43904</v>
      </c>
      <c r="I6" s="9">
        <f>IF(DAY(_1ηΚυρΜαρ)=1,_1ηΚυρΜαρ+14,_1ηΚυρΜαρ+21)</f>
        <v>43905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IF(DAY(_1ηΚυρΜαρ)=1,_1ηΚυρΜαρ+15,_1ηΚυρΜαρ+22)</f>
        <v>43906</v>
      </c>
      <c r="D7" s="9">
        <f>IF(DAY(_1ηΚυρΜαρ)=1,_1ηΚυρΜαρ+16,_1ηΚυρΜαρ+23)</f>
        <v>43907</v>
      </c>
      <c r="E7" s="9">
        <f>IF(DAY(_1ηΚυρΜαρ)=1,_1ηΚυρΜαρ+17,_1ηΚυρΜαρ+24)</f>
        <v>43908</v>
      </c>
      <c r="F7" s="9">
        <f>IF(DAY(_1ηΚυρΜαρ)=1,_1ηΚυρΜαρ+18,_1ηΚυρΜαρ+25)</f>
        <v>43909</v>
      </c>
      <c r="G7" s="9">
        <f>IF(DAY(_1ηΚυρΜαρ)=1,_1ηΚυρΜαρ+19,_1ηΚυρΜαρ+26)</f>
        <v>43910</v>
      </c>
      <c r="H7" s="9">
        <f>IF(DAY(_1ηΚυρΜαρ)=1,_1ηΚυρΜαρ+20,_1ηΚυρΜαρ+27)</f>
        <v>43911</v>
      </c>
      <c r="I7" s="9">
        <f>IF(DAY(_1ηΚυρΜαρ)=1,_1ηΚυρΜαρ+21,_1ηΚυρΜαρ+28)</f>
        <v>43912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IF(DAY(_1ηΚυρΜαρ)=1,_1ηΚυρΜαρ+22,_1ηΚυρΜαρ+29)</f>
        <v>43913</v>
      </c>
      <c r="D8" s="9">
        <f>IF(DAY(_1ηΚυρΜαρ)=1,_1ηΚυρΜαρ+23,_1ηΚυρΜαρ+30)</f>
        <v>43914</v>
      </c>
      <c r="E8" s="9">
        <f>IF(DAY(_1ηΚυρΜαρ)=1,_1ηΚυρΜαρ+24,_1ηΚυρΜαρ+31)</f>
        <v>43915</v>
      </c>
      <c r="F8" s="9">
        <f>IF(DAY(_1ηΚυρΜαρ)=1,_1ηΚυρΜαρ+25,_1ηΚυρΜαρ+32)</f>
        <v>43916</v>
      </c>
      <c r="G8" s="9">
        <f>IF(DAY(_1ηΚυρΜαρ)=1,_1ηΚυρΜαρ+26,_1ηΚυρΜαρ+33)</f>
        <v>43917</v>
      </c>
      <c r="H8" s="9">
        <f>IF(DAY(_1ηΚυρΜαρ)=1,_1ηΚυρΜαρ+27,_1ηΚυρΜαρ+34)</f>
        <v>43918</v>
      </c>
      <c r="I8" s="9">
        <f>IF(DAY(_1ηΚυρΜαρ)=1,_1ηΚυρΜαρ+28,_1ηΚυρΜαρ+35)</f>
        <v>43919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IF(DAY(_1ηΚυρΜαρ)=1,_1ηΚυρΜαρ+29,_1ηΚυρΜαρ+36)</f>
        <v>43920</v>
      </c>
      <c r="D9" s="9">
        <f>IF(DAY(_1ηΚυρΜαρ)=1,_1ηΚυρΜαρ+30,_1ηΚυρΜαρ+37)</f>
        <v>43921</v>
      </c>
      <c r="E9" s="9">
        <f>IF(DAY(_1ηΚυρΜαρ)=1,_1ηΚυρΜαρ+31,_1ηΚυρΜαρ+38)</f>
        <v>43922</v>
      </c>
      <c r="F9" s="9">
        <f>IF(DAY(_1ηΚυρΜαρ)=1,_1ηΚυρΜαρ+32,_1ηΚυρΜαρ+39)</f>
        <v>43923</v>
      </c>
      <c r="G9" s="9">
        <f>IF(DAY(_1ηΚυρΜαρ)=1,_1ηΚυρΜαρ+33,_1ηΚυρΜαρ+40)</f>
        <v>43924</v>
      </c>
      <c r="H9" s="9">
        <f>IF(DAY(_1ηΚυρΜαρ)=1,_1ηΚυρΜαρ+34,_1ηΚυρΜαρ+41)</f>
        <v>43925</v>
      </c>
      <c r="I9" s="9">
        <f>IF(DAY(_1ηΚυρΜαρ)=1,_1ηΚυρΜαρ+35,_1ηΚυρΜαρ+42)</f>
        <v>43926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9" priority="3" stopIfTrue="1">
      <formula>DAY(C4)&gt;8</formula>
    </cfRule>
  </conditionalFormatting>
  <conditionalFormatting sqref="C8:I10">
    <cfRule type="expression" dxfId="38" priority="2" stopIfTrue="1">
      <formula>AND(DAY(C8)&gt;=1,DAY(C8)&lt;=15)</formula>
    </cfRule>
  </conditionalFormatting>
  <conditionalFormatting sqref="C4:I9">
    <cfRule type="expression" dxfId="37" priority="4">
      <formula>VLOOKUP(DAY(C4),ΗμερομηνίεςΕργασιών,1,FALSE)=DAY(C4)</formula>
    </cfRule>
  </conditionalFormatting>
  <conditionalFormatting sqref="B14:J33">
    <cfRule type="expression" dxfId="3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29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IF(DAY(_1ηΚυρΑπρ)=1,_1ηΚυρΑπρ-6,_1ηΚυρΑπρ+1)</f>
        <v>43920</v>
      </c>
      <c r="D4" s="9">
        <f>IF(DAY(_1ηΚυρΑπρ)=1,_1ηΚυρΑπρ-5,_1ηΚυρΑπρ+2)</f>
        <v>43921</v>
      </c>
      <c r="E4" s="9">
        <f>IF(DAY(_1ηΚυρΑπρ)=1,_1ηΚυρΑπρ-4,_1ηΚυρΑπρ+3)</f>
        <v>43922</v>
      </c>
      <c r="F4" s="9">
        <f>IF(DAY(_1ηΚυρΑπρ)=1,_1ηΚυρΑπρ-3,_1ηΚυρΑπρ+4)</f>
        <v>43923</v>
      </c>
      <c r="G4" s="9">
        <f>IF(DAY(_1ηΚυρΑπρ)=1,_1ηΚυρΑπρ-2,_1ηΚυρΑπρ+5)</f>
        <v>43924</v>
      </c>
      <c r="H4" s="9">
        <f>IF(DAY(_1ηΚυρΑπρ)=1,_1ηΚυρΑπρ-1,_1ηΚυρΑπρ+6)</f>
        <v>43925</v>
      </c>
      <c r="I4" s="9">
        <f>IF(DAY(_1ηΚυρΑπρ)=1,_1ηΚυρΑπρ,_1ηΚυρΑπρ+7)</f>
        <v>43926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IF(DAY(_1ηΚυρΑπρ)=1,_1ηΚυρΑπρ+1,_1ηΚυρΑπρ+8)</f>
        <v>43927</v>
      </c>
      <c r="D5" s="9">
        <f>IF(DAY(_1ηΚυρΑπρ)=1,_1ηΚυρΑπρ+2,_1ηΚυρΑπρ+9)</f>
        <v>43928</v>
      </c>
      <c r="E5" s="9">
        <f>IF(DAY(_1ηΚυρΑπρ)=1,_1ηΚυρΑπρ+3,_1ηΚυρΑπρ+10)</f>
        <v>43929</v>
      </c>
      <c r="F5" s="9">
        <f>IF(DAY(_1ηΚυρΑπρ)=1,_1ηΚυρΑπρ+4,_1ηΚυρΑπρ+11)</f>
        <v>43930</v>
      </c>
      <c r="G5" s="9">
        <f>IF(DAY(_1ηΚυρΑπρ)=1,_1ηΚυρΑπρ+5,_1ηΚυρΑπρ+12)</f>
        <v>43931</v>
      </c>
      <c r="H5" s="9">
        <f>IF(DAY(_1ηΚυρΑπρ)=1,_1ηΚυρΑπρ+6,_1ηΚυρΑπρ+13)</f>
        <v>43932</v>
      </c>
      <c r="I5" s="9">
        <f>IF(DAY(_1ηΚυρΑπρ)=1,_1ηΚυρΑπρ+7,_1ηΚυρΑπρ+14)</f>
        <v>43933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IF(DAY(_1ηΚυρΑπρ)=1,_1ηΚυρΑπρ+8,_1ηΚυρΑπρ+15)</f>
        <v>43934</v>
      </c>
      <c r="D6" s="9">
        <f>IF(DAY(_1ηΚυρΑπρ)=1,_1ηΚυρΑπρ+9,_1ηΚυρΑπρ+16)</f>
        <v>43935</v>
      </c>
      <c r="E6" s="9">
        <f>IF(DAY(_1ηΚυρΑπρ)=1,_1ηΚυρΑπρ+10,_1ηΚυρΑπρ+17)</f>
        <v>43936</v>
      </c>
      <c r="F6" s="9">
        <f>IF(DAY(_1ηΚυρΑπρ)=1,_1ηΚυρΑπρ+11,_1ηΚυρΑπρ+18)</f>
        <v>43937</v>
      </c>
      <c r="G6" s="9">
        <f>IF(DAY(_1ηΚυρΑπρ)=1,_1ηΚυρΑπρ+12,_1ηΚυρΑπρ+19)</f>
        <v>43938</v>
      </c>
      <c r="H6" s="9">
        <f>IF(DAY(_1ηΚυρΑπρ)=1,_1ηΚυρΑπρ+13,_1ηΚυρΑπρ+20)</f>
        <v>43939</v>
      </c>
      <c r="I6" s="9">
        <f>IF(DAY(_1ηΚυρΑπρ)=1,_1ηΚυρΑπρ+14,_1ηΚυρΑπρ+21)</f>
        <v>43940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IF(DAY(_1ηΚυρΑπρ)=1,_1ηΚυρΑπρ+15,_1ηΚυρΑπρ+22)</f>
        <v>43941</v>
      </c>
      <c r="D7" s="9">
        <f>IF(DAY(_1ηΚυρΑπρ)=1,_1ηΚυρΑπρ+16,_1ηΚυρΑπρ+23)</f>
        <v>43942</v>
      </c>
      <c r="E7" s="9">
        <f>IF(DAY(_1ηΚυρΑπρ)=1,_1ηΚυρΑπρ+17,_1ηΚυρΑπρ+24)</f>
        <v>43943</v>
      </c>
      <c r="F7" s="9">
        <f>IF(DAY(_1ηΚυρΑπρ)=1,_1ηΚυρΑπρ+18,_1ηΚυρΑπρ+25)</f>
        <v>43944</v>
      </c>
      <c r="G7" s="9">
        <f>IF(DAY(_1ηΚυρΑπρ)=1,_1ηΚυρΑπρ+19,_1ηΚυρΑπρ+26)</f>
        <v>43945</v>
      </c>
      <c r="H7" s="9">
        <f>IF(DAY(_1ηΚυρΑπρ)=1,_1ηΚυρΑπρ+20,_1ηΚυρΑπρ+27)</f>
        <v>43946</v>
      </c>
      <c r="I7" s="9">
        <f>IF(DAY(_1ηΚυρΑπρ)=1,_1ηΚυρΑπρ+21,_1ηΚυρΑπρ+28)</f>
        <v>43947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IF(DAY(_1ηΚυρΑπρ)=1,_1ηΚυρΑπρ+22,_1ηΚυρΑπρ+29)</f>
        <v>43948</v>
      </c>
      <c r="D8" s="9">
        <f>IF(DAY(_1ηΚυρΑπρ)=1,_1ηΚυρΑπρ+23,_1ηΚυρΑπρ+30)</f>
        <v>43949</v>
      </c>
      <c r="E8" s="9">
        <f>IF(DAY(_1ηΚυρΑπρ)=1,_1ηΚυρΑπρ+24,_1ηΚυρΑπρ+31)</f>
        <v>43950</v>
      </c>
      <c r="F8" s="9">
        <f>IF(DAY(_1ηΚυρΑπρ)=1,_1ηΚυρΑπρ+25,_1ηΚυρΑπρ+32)</f>
        <v>43951</v>
      </c>
      <c r="G8" s="9">
        <f>IF(DAY(_1ηΚυρΑπρ)=1,_1ηΚυρΑπρ+26,_1ηΚυρΑπρ+33)</f>
        <v>43952</v>
      </c>
      <c r="H8" s="9">
        <f>IF(DAY(_1ηΚυρΑπρ)=1,_1ηΚυρΑπρ+27,_1ηΚυρΑπρ+34)</f>
        <v>43953</v>
      </c>
      <c r="I8" s="9">
        <f>IF(DAY(_1ηΚυρΑπρ)=1,_1ηΚυρΑπρ+28,_1ηΚυρΑπρ+35)</f>
        <v>43954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IF(DAY(_1ηΚυρΑπρ)=1,_1ηΚυρΑπρ+29,_1ηΚυρΑπρ+36)</f>
        <v>43955</v>
      </c>
      <c r="D9" s="9">
        <f>IF(DAY(_1ηΚυρΑπρ)=1,_1ηΚυρΑπρ+30,_1ηΚυρΑπρ+37)</f>
        <v>43956</v>
      </c>
      <c r="E9" s="9">
        <f>IF(DAY(_1ηΚυρΑπρ)=1,_1ηΚυρΑπρ+31,_1ηΚυρΑπρ+38)</f>
        <v>43957</v>
      </c>
      <c r="F9" s="9">
        <f>IF(DAY(_1ηΚυρΑπρ)=1,_1ηΚυρΑπρ+32,_1ηΚυρΑπρ+39)</f>
        <v>43958</v>
      </c>
      <c r="G9" s="9">
        <f>IF(DAY(_1ηΚυρΑπρ)=1,_1ηΚυρΑπρ+33,_1ηΚυρΑπρ+40)</f>
        <v>43959</v>
      </c>
      <c r="H9" s="9">
        <f>IF(DAY(_1ηΚυρΑπρ)=1,_1ηΚυρΑπρ+34,_1ηΚυρΑπρ+41)</f>
        <v>43960</v>
      </c>
      <c r="I9" s="9">
        <f>IF(DAY(_1ηΚυρΑπρ)=1,_1ηΚυρΑπρ+35,_1ηΚυρΑπρ+42)</f>
        <v>43961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5" priority="3" stopIfTrue="1">
      <formula>DAY(C4)&gt;8</formula>
    </cfRule>
  </conditionalFormatting>
  <conditionalFormatting sqref="C8:I10">
    <cfRule type="expression" dxfId="34" priority="2" stopIfTrue="1">
      <formula>AND(DAY(C8)&gt;=1,DAY(C8)&lt;=15)</formula>
    </cfRule>
  </conditionalFormatting>
  <conditionalFormatting sqref="C4:I9">
    <cfRule type="expression" dxfId="33" priority="4">
      <formula>VLOOKUP(DAY(C4),ΗμερομηνίεςΕργασιών,1,FALSE)=DAY(C4)</formula>
    </cfRule>
  </conditionalFormatting>
  <conditionalFormatting sqref="B14:J33">
    <cfRule type="expression" dxfId="3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37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IF(DAY(_1ηΚυρΜαϊ)=1,_1ηΚυρΜαϊ-6,_1ηΚυρΜαϊ+1)</f>
        <v>43948</v>
      </c>
      <c r="D4" s="9">
        <f>IF(DAY(_1ηΚυρΜαϊ)=1,_1ηΚυρΜαϊ-5,_1ηΚυρΜαϊ+2)</f>
        <v>43949</v>
      </c>
      <c r="E4" s="9">
        <f>IF(DAY(_1ηΚυρΜαϊ)=1,_1ηΚυρΜαϊ-4,_1ηΚυρΜαϊ+3)</f>
        <v>43950</v>
      </c>
      <c r="F4" s="9">
        <f>IF(DAY(_1ηΚυρΜαϊ)=1,_1ηΚυρΜαϊ-3,_1ηΚυρΜαϊ+4)</f>
        <v>43951</v>
      </c>
      <c r="G4" s="9">
        <f>IF(DAY(_1ηΚυρΜαϊ)=1,_1ηΚυρΜαϊ-2,_1ηΚυρΜαϊ+5)</f>
        <v>43952</v>
      </c>
      <c r="H4" s="9">
        <f>IF(DAY(_1ηΚυρΜαϊ)=1,_1ηΚυρΜαϊ-1,_1ηΚυρΜαϊ+6)</f>
        <v>43953</v>
      </c>
      <c r="I4" s="9">
        <f>IF(DAY(_1ηΚυρΜαϊ)=1,_1ηΚυρΜαϊ,_1ηΚυρΜαϊ+7)</f>
        <v>43954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IF(DAY(_1ηΚυρΜαϊ)=1,_1ηΚυρΜαϊ+1,_1ηΚυρΜαϊ+8)</f>
        <v>43955</v>
      </c>
      <c r="D5" s="9">
        <f>IF(DAY(_1ηΚυρΜαϊ)=1,_1ηΚυρΜαϊ+2,_1ηΚυρΜαϊ+9)</f>
        <v>43956</v>
      </c>
      <c r="E5" s="9">
        <f>IF(DAY(_1ηΚυρΜαϊ)=1,_1ηΚυρΜαϊ+3,_1ηΚυρΜαϊ+10)</f>
        <v>43957</v>
      </c>
      <c r="F5" s="9">
        <f>IF(DAY(_1ηΚυρΜαϊ)=1,_1ηΚυρΜαϊ+4,_1ηΚυρΜαϊ+11)</f>
        <v>43958</v>
      </c>
      <c r="G5" s="9">
        <f>IF(DAY(_1ηΚυρΜαϊ)=1,_1ηΚυρΜαϊ+5,_1ηΚυρΜαϊ+12)</f>
        <v>43959</v>
      </c>
      <c r="H5" s="9">
        <f>IF(DAY(_1ηΚυρΜαϊ)=1,_1ηΚυρΜαϊ+6,_1ηΚυρΜαϊ+13)</f>
        <v>43960</v>
      </c>
      <c r="I5" s="9">
        <f>IF(DAY(_1ηΚυρΜαϊ)=1,_1ηΚυρΜαϊ+7,_1ηΚυρΜαϊ+14)</f>
        <v>43961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IF(DAY(_1ηΚυρΜαϊ)=1,_1ηΚυρΜαϊ+8,_1ηΚυρΜαϊ+15)</f>
        <v>43962</v>
      </c>
      <c r="D6" s="9">
        <f>IF(DAY(_1ηΚυρΜαϊ)=1,_1ηΚυρΜαϊ+9,_1ηΚυρΜαϊ+16)</f>
        <v>43963</v>
      </c>
      <c r="E6" s="9">
        <f>IF(DAY(_1ηΚυρΜαϊ)=1,_1ηΚυρΜαϊ+10,_1ηΚυρΜαϊ+17)</f>
        <v>43964</v>
      </c>
      <c r="F6" s="9">
        <f>IF(DAY(_1ηΚυρΜαϊ)=1,_1ηΚυρΜαϊ+11,_1ηΚυρΜαϊ+18)</f>
        <v>43965</v>
      </c>
      <c r="G6" s="9">
        <f>IF(DAY(_1ηΚυρΜαϊ)=1,_1ηΚυρΜαϊ+12,_1ηΚυρΜαϊ+19)</f>
        <v>43966</v>
      </c>
      <c r="H6" s="9">
        <f>IF(DAY(_1ηΚυρΜαϊ)=1,_1ηΚυρΜαϊ+13,_1ηΚυρΜαϊ+20)</f>
        <v>43967</v>
      </c>
      <c r="I6" s="9">
        <f>IF(DAY(_1ηΚυρΜαϊ)=1,_1ηΚυρΜαϊ+14,_1ηΚυρΜαϊ+21)</f>
        <v>43968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IF(DAY(_1ηΚυρΜαϊ)=1,_1ηΚυρΜαϊ+15,_1ηΚυρΜαϊ+22)</f>
        <v>43969</v>
      </c>
      <c r="D7" s="9">
        <f>IF(DAY(_1ηΚυρΜαϊ)=1,_1ηΚυρΜαϊ+16,_1ηΚυρΜαϊ+23)</f>
        <v>43970</v>
      </c>
      <c r="E7" s="9">
        <f>IF(DAY(_1ηΚυρΜαϊ)=1,_1ηΚυρΜαϊ+17,_1ηΚυρΜαϊ+24)</f>
        <v>43971</v>
      </c>
      <c r="F7" s="9">
        <f>IF(DAY(_1ηΚυρΜαϊ)=1,_1ηΚυρΜαϊ+18,_1ηΚυρΜαϊ+25)</f>
        <v>43972</v>
      </c>
      <c r="G7" s="9">
        <f>IF(DAY(_1ηΚυρΜαϊ)=1,_1ηΚυρΜαϊ+19,_1ηΚυρΜαϊ+26)</f>
        <v>43973</v>
      </c>
      <c r="H7" s="9">
        <f>IF(DAY(_1ηΚυρΜαϊ)=1,_1ηΚυρΜαϊ+20,_1ηΚυρΜαϊ+27)</f>
        <v>43974</v>
      </c>
      <c r="I7" s="9">
        <f>IF(DAY(_1ηΚυρΜαϊ)=1,_1ηΚυρΜαϊ+21,_1ηΚυρΜαϊ+28)</f>
        <v>43975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IF(DAY(_1ηΚυρΜαϊ)=1,_1ηΚυρΜαϊ+22,_1ηΚυρΜαϊ+29)</f>
        <v>43976</v>
      </c>
      <c r="D8" s="9">
        <f>IF(DAY(_1ηΚυρΜαϊ)=1,_1ηΚυρΜαϊ+23,_1ηΚυρΜαϊ+30)</f>
        <v>43977</v>
      </c>
      <c r="E8" s="9">
        <f>IF(DAY(_1ηΚυρΜαϊ)=1,_1ηΚυρΜαϊ+24,_1ηΚυρΜαϊ+31)</f>
        <v>43978</v>
      </c>
      <c r="F8" s="9">
        <f>IF(DAY(_1ηΚυρΜαϊ)=1,_1ηΚυρΜαϊ+25,_1ηΚυρΜαϊ+32)</f>
        <v>43979</v>
      </c>
      <c r="G8" s="9">
        <f>IF(DAY(_1ηΚυρΜαϊ)=1,_1ηΚυρΜαϊ+26,_1ηΚυρΜαϊ+33)</f>
        <v>43980</v>
      </c>
      <c r="H8" s="9">
        <f>IF(DAY(_1ηΚυρΜαϊ)=1,_1ηΚυρΜαϊ+27,_1ηΚυρΜαϊ+34)</f>
        <v>43981</v>
      </c>
      <c r="I8" s="9">
        <f>IF(DAY(_1ηΚυρΜαϊ)=1,_1ηΚυρΜαϊ+28,_1ηΚυρΜαϊ+35)</f>
        <v>43982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IF(DAY(_1ηΚυρΜαϊ)=1,_1ηΚυρΜαϊ+29,_1ηΚυρΜαϊ+36)</f>
        <v>43983</v>
      </c>
      <c r="D9" s="9">
        <f>IF(DAY(_1ηΚυρΜαϊ)=1,_1ηΚυρΜαϊ+30,_1ηΚυρΜαϊ+37)</f>
        <v>43984</v>
      </c>
      <c r="E9" s="9">
        <f>IF(DAY(_1ηΚυρΜαϊ)=1,_1ηΚυρΜαϊ+31,_1ηΚυρΜαϊ+38)</f>
        <v>43985</v>
      </c>
      <c r="F9" s="9">
        <f>IF(DAY(_1ηΚυρΜαϊ)=1,_1ηΚυρΜαϊ+32,_1ηΚυρΜαϊ+39)</f>
        <v>43986</v>
      </c>
      <c r="G9" s="9">
        <f>IF(DAY(_1ηΚυρΜαϊ)=1,_1ηΚυρΜαϊ+33,_1ηΚυρΜαϊ+40)</f>
        <v>43987</v>
      </c>
      <c r="H9" s="9">
        <f>IF(DAY(_1ηΚυρΜαϊ)=1,_1ηΚυρΜαϊ+34,_1ηΚυρΜαϊ+41)</f>
        <v>43988</v>
      </c>
      <c r="I9" s="9">
        <f>IF(DAY(_1ηΚυρΜαϊ)=1,_1ηΚυρΜαϊ+35,_1ηΚυρΜαϊ+42)</f>
        <v>43989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31" priority="3" stopIfTrue="1">
      <formula>DAY(C4)&gt;8</formula>
    </cfRule>
  </conditionalFormatting>
  <conditionalFormatting sqref="C8:I10">
    <cfRule type="expression" dxfId="30" priority="2" stopIfTrue="1">
      <formula>AND(DAY(C8)&gt;=1,DAY(C8)&lt;=15)</formula>
    </cfRule>
  </conditionalFormatting>
  <conditionalFormatting sqref="C4:I9">
    <cfRule type="expression" dxfId="29" priority="4">
      <formula>VLOOKUP(DAY(C4),ΗμερομηνίεςΕργασιών,1,FALSE)=DAY(C4)</formula>
    </cfRule>
  </conditionalFormatting>
  <conditionalFormatting sqref="B14:J33">
    <cfRule type="expression" dxfId="28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30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IF(DAY(_1ηΚυρΙουν)=1,_1ηΚυρΙουν-6,_1ηΚυρΙουν+1)</f>
        <v>43983</v>
      </c>
      <c r="D4" s="9">
        <f>IF(DAY(_1ηΚυρΙουν)=1,_1ηΚυρΙουν-5,_1ηΚυρΙουν+2)</f>
        <v>43984</v>
      </c>
      <c r="E4" s="9">
        <f>IF(DAY(_1ηΚυρΙουν)=1,_1ηΚυρΙουν-4,_1ηΚυρΙουν+3)</f>
        <v>43985</v>
      </c>
      <c r="F4" s="9">
        <f>IF(DAY(_1ηΚυρΙουν)=1,_1ηΚυρΙουν-3,_1ηΚυρΙουν+4)</f>
        <v>43986</v>
      </c>
      <c r="G4" s="9">
        <f>IF(DAY(_1ηΚυρΙουν)=1,_1ηΚυρΙουν-2,_1ηΚυρΙουν+5)</f>
        <v>43987</v>
      </c>
      <c r="H4" s="9">
        <f>IF(DAY(_1ηΚυρΙουν)=1,_1ηΚυρΙουν-1,_1ηΚυρΙουν+6)</f>
        <v>43988</v>
      </c>
      <c r="I4" s="9">
        <f>IF(DAY(_1ηΚυρΙουν)=1,_1ηΚυρΙουν,_1ηΚυρΙουν+7)</f>
        <v>43989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IF(DAY(_1ηΚυρΙουν)=1,_1ηΚυρΙουν+1,_1ηΚυρΙουν+8)</f>
        <v>43990</v>
      </c>
      <c r="D5" s="9">
        <f>IF(DAY(_1ηΚυρΙουν)=1,_1ηΚυρΙουν+2,_1ηΚυρΙουν+9)</f>
        <v>43991</v>
      </c>
      <c r="E5" s="9">
        <f>IF(DAY(_1ηΚυρΙουν)=1,_1ηΚυρΙουν+3,_1ηΚυρΙουν+10)</f>
        <v>43992</v>
      </c>
      <c r="F5" s="9">
        <f>IF(DAY(_1ηΚυρΙουν)=1,_1ηΚυρΙουν+4,_1ηΚυρΙουν+11)</f>
        <v>43993</v>
      </c>
      <c r="G5" s="9">
        <f>IF(DAY(_1ηΚυρΙουν)=1,_1ηΚυρΙουν+5,_1ηΚυρΙουν+12)</f>
        <v>43994</v>
      </c>
      <c r="H5" s="9">
        <f>IF(DAY(_1ηΚυρΙουν)=1,_1ηΚυρΙουν+6,_1ηΚυρΙουν+13)</f>
        <v>43995</v>
      </c>
      <c r="I5" s="9">
        <f>IF(DAY(_1ηΚυρΙουν)=1,_1ηΚυρΙουν+7,_1ηΚυρΙουν+14)</f>
        <v>43996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IF(DAY(_1ηΚυρΙουν)=1,_1ηΚυρΙουν+8,_1ηΚυρΙουν+15)</f>
        <v>43997</v>
      </c>
      <c r="D6" s="9">
        <f>IF(DAY(_1ηΚυρΙουν)=1,_1ηΚυρΙουν+9,_1ηΚυρΙουν+16)</f>
        <v>43998</v>
      </c>
      <c r="E6" s="9">
        <f>IF(DAY(_1ηΚυρΙουν)=1,_1ηΚυρΙουν+10,_1ηΚυρΙουν+17)</f>
        <v>43999</v>
      </c>
      <c r="F6" s="9">
        <f>IF(DAY(_1ηΚυρΙουν)=1,_1ηΚυρΙουν+11,_1ηΚυρΙουν+18)</f>
        <v>44000</v>
      </c>
      <c r="G6" s="9">
        <f>IF(DAY(_1ηΚυρΙουν)=1,_1ηΚυρΙουν+12,_1ηΚυρΙουν+19)</f>
        <v>44001</v>
      </c>
      <c r="H6" s="9">
        <f>IF(DAY(_1ηΚυρΙουν)=1,_1ηΚυρΙουν+13,_1ηΚυρΙουν+20)</f>
        <v>44002</v>
      </c>
      <c r="I6" s="9">
        <f>IF(DAY(_1ηΚυρΙουν)=1,_1ηΚυρΙουν+14,_1ηΚυρΙουν+21)</f>
        <v>44003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IF(DAY(_1ηΚυρΙουν)=1,_1ηΚυρΙουν+15,_1ηΚυρΙουν+22)</f>
        <v>44004</v>
      </c>
      <c r="D7" s="9">
        <f>IF(DAY(_1ηΚυρΙουν)=1,_1ηΚυρΙουν+16,_1ηΚυρΙουν+23)</f>
        <v>44005</v>
      </c>
      <c r="E7" s="9">
        <f>IF(DAY(_1ηΚυρΙουν)=1,_1ηΚυρΙουν+17,_1ηΚυρΙουν+24)</f>
        <v>44006</v>
      </c>
      <c r="F7" s="9">
        <f>IF(DAY(_1ηΚυρΙουν)=1,_1ηΚυρΙουν+18,_1ηΚυρΙουν+25)</f>
        <v>44007</v>
      </c>
      <c r="G7" s="9">
        <f>IF(DAY(_1ηΚυρΙουν)=1,_1ηΚυρΙουν+19,_1ηΚυρΙουν+26)</f>
        <v>44008</v>
      </c>
      <c r="H7" s="9">
        <f>IF(DAY(_1ηΚυρΙουν)=1,_1ηΚυρΙουν+20,_1ηΚυρΙουν+27)</f>
        <v>44009</v>
      </c>
      <c r="I7" s="9">
        <f>IF(DAY(_1ηΚυρΙουν)=1,_1ηΚυρΙουν+21,_1ηΚυρΙουν+28)</f>
        <v>44010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IF(DAY(_1ηΚυρΙουν)=1,_1ηΚυρΙουν+22,_1ηΚυρΙουν+29)</f>
        <v>44011</v>
      </c>
      <c r="D8" s="9">
        <f>IF(DAY(_1ηΚυρΙουν)=1,_1ηΚυρΙουν+23,_1ηΚυρΙουν+30)</f>
        <v>44012</v>
      </c>
      <c r="E8" s="9">
        <f>IF(DAY(_1ηΚυρΙουν)=1,_1ηΚυρΙουν+24,_1ηΚυρΙουν+31)</f>
        <v>44013</v>
      </c>
      <c r="F8" s="9">
        <f>IF(DAY(_1ηΚυρΙουν)=1,_1ηΚυρΙουν+25,_1ηΚυρΙουν+32)</f>
        <v>44014</v>
      </c>
      <c r="G8" s="9">
        <f>IF(DAY(_1ηΚυρΙουν)=1,_1ηΚυρΙουν+26,_1ηΚυρΙουν+33)</f>
        <v>44015</v>
      </c>
      <c r="H8" s="9">
        <f>IF(DAY(_1ηΚυρΙουν)=1,_1ηΚυρΙουν+27,_1ηΚυρΙουν+34)</f>
        <v>44016</v>
      </c>
      <c r="I8" s="9">
        <f>IF(DAY(_1ηΚυρΙουν)=1,_1ηΚυρΙουν+28,_1ηΚυρΙουν+35)</f>
        <v>44017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IF(DAY(_1ηΚυρΙουν)=1,_1ηΚυρΙουν+29,_1ηΚυρΙουν+36)</f>
        <v>44018</v>
      </c>
      <c r="D9" s="9">
        <f>IF(DAY(_1ηΚυρΙουν)=1,_1ηΚυρΙουν+30,_1ηΚυρΙουν+37)</f>
        <v>44019</v>
      </c>
      <c r="E9" s="9">
        <f>IF(DAY(_1ηΚυρΙουν)=1,_1ηΚυρΙουν+31,_1ηΚυρΙουν+38)</f>
        <v>44020</v>
      </c>
      <c r="F9" s="9">
        <f>IF(DAY(_1ηΚυρΙουν)=1,_1ηΚυρΙουν+32,_1ηΚυρΙουν+39)</f>
        <v>44021</v>
      </c>
      <c r="G9" s="9">
        <f>IF(DAY(_1ηΚυρΙουν)=1,_1ηΚυρΙουν+33,_1ηΚυρΙουν+40)</f>
        <v>44022</v>
      </c>
      <c r="H9" s="9">
        <f>IF(DAY(_1ηΚυρΙουν)=1,_1ηΚυρΙουν+34,_1ηΚυρΙουν+41)</f>
        <v>44023</v>
      </c>
      <c r="I9" s="9">
        <f>IF(DAY(_1ηΚυρΙουν)=1,_1ηΚυρΙουν+35,_1ηΚυρΙουν+42)</f>
        <v>44024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7" priority="3" stopIfTrue="1">
      <formula>DAY(C4)&gt;8</formula>
    </cfRule>
  </conditionalFormatting>
  <conditionalFormatting sqref="C8:I10">
    <cfRule type="expression" dxfId="26" priority="2" stopIfTrue="1">
      <formula>AND(DAY(C8)&gt;=1,DAY(C8)&lt;=15)</formula>
    </cfRule>
  </conditionalFormatting>
  <conditionalFormatting sqref="C4:I9">
    <cfRule type="expression" dxfId="25" priority="4">
      <formula>VLOOKUP(DAY(C4),ΗμερομηνίεςΕργασιών,1,FALSE)=DAY(C4)</formula>
    </cfRule>
  </conditionalFormatting>
  <conditionalFormatting sqref="B14:J33">
    <cfRule type="expression" dxfId="24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31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IF(DAY(_1ηΚυρΙουλ)=1,_1ηΚυρΙουλ-6,_1ηΚυρΙουλ+1)</f>
        <v>44011</v>
      </c>
      <c r="D4" s="9">
        <f>IF(DAY(_1ηΚυρΙουλ)=1,_1ηΚυρΙουλ-5,_1ηΚυρΙουλ+2)</f>
        <v>44012</v>
      </c>
      <c r="E4" s="9">
        <f>IF(DAY(_1ηΚυρΙουλ)=1,_1ηΚυρΙουλ-4,_1ηΚυρΙουλ+3)</f>
        <v>44013</v>
      </c>
      <c r="F4" s="9">
        <f>IF(DAY(_1ηΚυρΙουλ)=1,_1ηΚυρΙουλ-3,_1ηΚυρΙουλ+4)</f>
        <v>44014</v>
      </c>
      <c r="G4" s="9">
        <f>IF(DAY(_1ηΚυρΙουλ)=1,_1ηΚυρΙουλ-2,_1ηΚυρΙουλ+5)</f>
        <v>44015</v>
      </c>
      <c r="H4" s="9">
        <f>IF(DAY(_1ηΚυρΙουλ)=1,_1ηΚυρΙουλ-1,_1ηΚυρΙουλ+6)</f>
        <v>44016</v>
      </c>
      <c r="I4" s="9">
        <f>IF(DAY(_1ηΚυρΙουλ)=1,_1ηΚυρΙουλ,_1ηΚυρΙουλ+7)</f>
        <v>44017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IF(DAY(_1ηΚυρΙουλ)=1,_1ηΚυρΙουλ+1,_1ηΚυρΙουλ+8)</f>
        <v>44018</v>
      </c>
      <c r="D5" s="9">
        <f>IF(DAY(_1ηΚυρΙουλ)=1,_1ηΚυρΙουλ+2,_1ηΚυρΙουλ+9)</f>
        <v>44019</v>
      </c>
      <c r="E5" s="9">
        <f>IF(DAY(_1ηΚυρΙουλ)=1,_1ηΚυρΙουλ+3,_1ηΚυρΙουλ+10)</f>
        <v>44020</v>
      </c>
      <c r="F5" s="9">
        <f>IF(DAY(_1ηΚυρΙουλ)=1,_1ηΚυρΙουλ+4,_1ηΚυρΙουλ+11)</f>
        <v>44021</v>
      </c>
      <c r="G5" s="9">
        <f>IF(DAY(_1ηΚυρΙουλ)=1,_1ηΚυρΙουλ+5,_1ηΚυρΙουλ+12)</f>
        <v>44022</v>
      </c>
      <c r="H5" s="9">
        <f>IF(DAY(_1ηΚυρΙουλ)=1,_1ηΚυρΙουλ+6,_1ηΚυρΙουλ+13)</f>
        <v>44023</v>
      </c>
      <c r="I5" s="9">
        <f>IF(DAY(_1ηΚυρΙουλ)=1,_1ηΚυρΙουλ+7,_1ηΚυρΙουλ+14)</f>
        <v>44024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IF(DAY(_1ηΚυρΙουλ)=1,_1ηΚυρΙουλ+8,_1ηΚυρΙουλ+15)</f>
        <v>44025</v>
      </c>
      <c r="D6" s="9">
        <f>IF(DAY(_1ηΚυρΙουλ)=1,_1ηΚυρΙουλ+9,_1ηΚυρΙουλ+16)</f>
        <v>44026</v>
      </c>
      <c r="E6" s="9">
        <f>IF(DAY(_1ηΚυρΙουλ)=1,_1ηΚυρΙουλ+10,_1ηΚυρΙουλ+17)</f>
        <v>44027</v>
      </c>
      <c r="F6" s="9">
        <f>IF(DAY(_1ηΚυρΙουλ)=1,_1ηΚυρΙουλ+11,_1ηΚυρΙουλ+18)</f>
        <v>44028</v>
      </c>
      <c r="G6" s="9">
        <f>IF(DAY(_1ηΚυρΙουλ)=1,_1ηΚυρΙουλ+12,_1ηΚυρΙουλ+19)</f>
        <v>44029</v>
      </c>
      <c r="H6" s="9">
        <f>IF(DAY(_1ηΚυρΙουλ)=1,_1ηΚυρΙουλ+13,_1ηΚυρΙουλ+20)</f>
        <v>44030</v>
      </c>
      <c r="I6" s="9">
        <f>IF(DAY(_1ηΚυρΙουλ)=1,_1ηΚυρΙουλ+14,_1ηΚυρΙουλ+21)</f>
        <v>44031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IF(DAY(_1ηΚυρΙουλ)=1,_1ηΚυρΙουλ+15,_1ηΚυρΙουλ+22)</f>
        <v>44032</v>
      </c>
      <c r="D7" s="9">
        <f>IF(DAY(_1ηΚυρΙουλ)=1,_1ηΚυρΙουλ+16,_1ηΚυρΙουλ+23)</f>
        <v>44033</v>
      </c>
      <c r="E7" s="9">
        <f>IF(DAY(_1ηΚυρΙουλ)=1,_1ηΚυρΙουλ+17,_1ηΚυρΙουλ+24)</f>
        <v>44034</v>
      </c>
      <c r="F7" s="9">
        <f>IF(DAY(_1ηΚυρΙουλ)=1,_1ηΚυρΙουλ+18,_1ηΚυρΙουλ+25)</f>
        <v>44035</v>
      </c>
      <c r="G7" s="9">
        <f>IF(DAY(_1ηΚυρΙουλ)=1,_1ηΚυρΙουλ+19,_1ηΚυρΙουλ+26)</f>
        <v>44036</v>
      </c>
      <c r="H7" s="9">
        <f>IF(DAY(_1ηΚυρΙουλ)=1,_1ηΚυρΙουλ+20,_1ηΚυρΙουλ+27)</f>
        <v>44037</v>
      </c>
      <c r="I7" s="9">
        <f>IF(DAY(_1ηΚυρΙουλ)=1,_1ηΚυρΙουλ+21,_1ηΚυρΙουλ+28)</f>
        <v>44038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IF(DAY(_1ηΚυρΙουλ)=1,_1ηΚυρΙουλ+22,_1ηΚυρΙουλ+29)</f>
        <v>44039</v>
      </c>
      <c r="D8" s="9">
        <f>IF(DAY(_1ηΚυρΙουλ)=1,_1ηΚυρΙουλ+23,_1ηΚυρΙουλ+30)</f>
        <v>44040</v>
      </c>
      <c r="E8" s="9">
        <f>IF(DAY(_1ηΚυρΙουλ)=1,_1ηΚυρΙουλ+24,_1ηΚυρΙουλ+31)</f>
        <v>44041</v>
      </c>
      <c r="F8" s="9">
        <f>IF(DAY(_1ηΚυρΙουλ)=1,_1ηΚυρΙουλ+25,_1ηΚυρΙουλ+32)</f>
        <v>44042</v>
      </c>
      <c r="G8" s="9">
        <f>IF(DAY(_1ηΚυρΙουλ)=1,_1ηΚυρΙουλ+26,_1ηΚυρΙουλ+33)</f>
        <v>44043</v>
      </c>
      <c r="H8" s="9">
        <f>IF(DAY(_1ηΚυρΙουλ)=1,_1ηΚυρΙουλ+27,_1ηΚυρΙουλ+34)</f>
        <v>44044</v>
      </c>
      <c r="I8" s="9">
        <f>IF(DAY(_1ηΚυρΙουλ)=1,_1ηΚυρΙουλ+28,_1ηΚυρΙουλ+35)</f>
        <v>44045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IF(DAY(_1ηΚυρΙουλ)=1,_1ηΚυρΙουλ+29,_1ηΚυρΙουλ+36)</f>
        <v>44046</v>
      </c>
      <c r="D9" s="9">
        <f>IF(DAY(_1ηΚυρΙουλ)=1,_1ηΚυρΙουλ+30,_1ηΚυρΙουλ+37)</f>
        <v>44047</v>
      </c>
      <c r="E9" s="9">
        <f>IF(DAY(_1ηΚυρΙουλ)=1,_1ηΚυρΙουλ+31,_1ηΚυρΙουλ+38)</f>
        <v>44048</v>
      </c>
      <c r="F9" s="9">
        <f>IF(DAY(_1ηΚυρΙουλ)=1,_1ηΚυρΙουλ+32,_1ηΚυρΙουλ+39)</f>
        <v>44049</v>
      </c>
      <c r="G9" s="9">
        <f>IF(DAY(_1ηΚυρΙουλ)=1,_1ηΚυρΙουλ+33,_1ηΚυρΙουλ+40)</f>
        <v>44050</v>
      </c>
      <c r="H9" s="9">
        <f>IF(DAY(_1ηΚυρΙουλ)=1,_1ηΚυρΙουλ+34,_1ηΚυρΙουλ+41)</f>
        <v>44051</v>
      </c>
      <c r="I9" s="9">
        <f>IF(DAY(_1ηΚυρΙουλ)=1,_1ηΚυρΙουλ+35,_1ηΚυρΙουλ+42)</f>
        <v>44052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23" priority="3" stopIfTrue="1">
      <formula>DAY(C4)&gt;8</formula>
    </cfRule>
  </conditionalFormatting>
  <conditionalFormatting sqref="C8:I10">
    <cfRule type="expression" dxfId="22" priority="2" stopIfTrue="1">
      <formula>AND(DAY(C8)&gt;=1,DAY(C8)&lt;=15)</formula>
    </cfRule>
  </conditionalFormatting>
  <conditionalFormatting sqref="C4:I9">
    <cfRule type="expression" dxfId="21" priority="4">
      <formula>VLOOKUP(DAY(C4),ΗμερομηνίεςΕργασιών,1,FALSE)=DAY(C4)</formula>
    </cfRule>
  </conditionalFormatting>
  <conditionalFormatting sqref="B14:J33">
    <cfRule type="expression" dxfId="20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32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19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IF(DAY(_1ηΚυρΑυγ)=1,_1ηΚυρΑυγ-6,_1ηΚυρΑυγ+1)</f>
        <v>44039</v>
      </c>
      <c r="D4" s="9">
        <f>IF(DAY(_1ηΚυρΑυγ)=1,_1ηΚυρΑυγ-5,_1ηΚυρΑυγ+2)</f>
        <v>44040</v>
      </c>
      <c r="E4" s="9">
        <f>IF(DAY(_1ηΚυρΑυγ)=1,_1ηΚυρΑυγ-4,_1ηΚυρΑυγ+3)</f>
        <v>44041</v>
      </c>
      <c r="F4" s="9">
        <f>IF(DAY(_1ηΚυρΑυγ)=1,_1ηΚυρΑυγ-3,_1ηΚυρΑυγ+4)</f>
        <v>44042</v>
      </c>
      <c r="G4" s="9">
        <f>IF(DAY(_1ηΚυρΑυγ)=1,_1ηΚυρΑυγ-2,_1ηΚυρΑυγ+5)</f>
        <v>44043</v>
      </c>
      <c r="H4" s="9">
        <f>IF(DAY(_1ηΚυρΑυγ)=1,_1ηΚυρΑυγ-1,_1ηΚυρΑυγ+6)</f>
        <v>44044</v>
      </c>
      <c r="I4" s="9">
        <f>IF(DAY(_1ηΚυρΑυγ)=1,_1ηΚυρΑυγ,_1ηΚυρΑυγ+7)</f>
        <v>44045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IF(DAY(_1ηΚυρΑυγ)=1,_1ηΚυρΑυγ+1,_1ηΚυρΑυγ+8)</f>
        <v>44046</v>
      </c>
      <c r="D5" s="9">
        <f>IF(DAY(_1ηΚυρΑυγ)=1,_1ηΚυρΑυγ+2,_1ηΚυρΑυγ+9)</f>
        <v>44047</v>
      </c>
      <c r="E5" s="9">
        <f>IF(DAY(_1ηΚυρΑυγ)=1,_1ηΚυρΑυγ+3,_1ηΚυρΑυγ+10)</f>
        <v>44048</v>
      </c>
      <c r="F5" s="9">
        <f>IF(DAY(_1ηΚυρΑυγ)=1,_1ηΚυρΑυγ+4,_1ηΚυρΑυγ+11)</f>
        <v>44049</v>
      </c>
      <c r="G5" s="9">
        <f>IF(DAY(_1ηΚυρΑυγ)=1,_1ηΚυρΑυγ+5,_1ηΚυρΑυγ+12)</f>
        <v>44050</v>
      </c>
      <c r="H5" s="9">
        <f>IF(DAY(_1ηΚυρΑυγ)=1,_1ηΚυρΑυγ+6,_1ηΚυρΑυγ+13)</f>
        <v>44051</v>
      </c>
      <c r="I5" s="9">
        <f>IF(DAY(_1ηΚυρΑυγ)=1,_1ηΚυρΑυγ+7,_1ηΚυρΑυγ+14)</f>
        <v>44052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IF(DAY(_1ηΚυρΑυγ)=1,_1ηΚυρΑυγ+8,_1ηΚυρΑυγ+15)</f>
        <v>44053</v>
      </c>
      <c r="D6" s="9">
        <f>IF(DAY(_1ηΚυρΑυγ)=1,_1ηΚυρΑυγ+9,_1ηΚυρΑυγ+16)</f>
        <v>44054</v>
      </c>
      <c r="E6" s="9">
        <f>IF(DAY(_1ηΚυρΑυγ)=1,_1ηΚυρΑυγ+10,_1ηΚυρΑυγ+17)</f>
        <v>44055</v>
      </c>
      <c r="F6" s="9">
        <f>IF(DAY(_1ηΚυρΑυγ)=1,_1ηΚυρΑυγ+11,_1ηΚυρΑυγ+18)</f>
        <v>44056</v>
      </c>
      <c r="G6" s="9">
        <f>IF(DAY(_1ηΚυρΑυγ)=1,_1ηΚυρΑυγ+12,_1ηΚυρΑυγ+19)</f>
        <v>44057</v>
      </c>
      <c r="H6" s="9">
        <f>IF(DAY(_1ηΚυρΑυγ)=1,_1ηΚυρΑυγ+13,_1ηΚυρΑυγ+20)</f>
        <v>44058</v>
      </c>
      <c r="I6" s="9">
        <f>IF(DAY(_1ηΚυρΑυγ)=1,_1ηΚυρΑυγ+14,_1ηΚυρΑυγ+21)</f>
        <v>44059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IF(DAY(_1ηΚυρΑυγ)=1,_1ηΚυρΑυγ+15,_1ηΚυρΑυγ+22)</f>
        <v>44060</v>
      </c>
      <c r="D7" s="9">
        <f>IF(DAY(_1ηΚυρΑυγ)=1,_1ηΚυρΑυγ+16,_1ηΚυρΑυγ+23)</f>
        <v>44061</v>
      </c>
      <c r="E7" s="9">
        <f>IF(DAY(_1ηΚυρΑυγ)=1,_1ηΚυρΑυγ+17,_1ηΚυρΑυγ+24)</f>
        <v>44062</v>
      </c>
      <c r="F7" s="9">
        <f>IF(DAY(_1ηΚυρΑυγ)=1,_1ηΚυρΑυγ+18,_1ηΚυρΑυγ+25)</f>
        <v>44063</v>
      </c>
      <c r="G7" s="9">
        <f>IF(DAY(_1ηΚυρΑυγ)=1,_1ηΚυρΑυγ+19,_1ηΚυρΑυγ+26)</f>
        <v>44064</v>
      </c>
      <c r="H7" s="9">
        <f>IF(DAY(_1ηΚυρΑυγ)=1,_1ηΚυρΑυγ+20,_1ηΚυρΑυγ+27)</f>
        <v>44065</v>
      </c>
      <c r="I7" s="9">
        <f>IF(DAY(_1ηΚυρΑυγ)=1,_1ηΚυρΑυγ+21,_1ηΚυρΑυγ+28)</f>
        <v>44066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IF(DAY(_1ηΚυρΑυγ)=1,_1ηΚυρΑυγ+22,_1ηΚυρΑυγ+29)</f>
        <v>44067</v>
      </c>
      <c r="D8" s="9">
        <f>IF(DAY(_1ηΚυρΑυγ)=1,_1ηΚυρΑυγ+23,_1ηΚυρΑυγ+30)</f>
        <v>44068</v>
      </c>
      <c r="E8" s="9">
        <f>IF(DAY(_1ηΚυρΑυγ)=1,_1ηΚυρΑυγ+24,_1ηΚυρΑυγ+31)</f>
        <v>44069</v>
      </c>
      <c r="F8" s="9">
        <f>IF(DAY(_1ηΚυρΑυγ)=1,_1ηΚυρΑυγ+25,_1ηΚυρΑυγ+32)</f>
        <v>44070</v>
      </c>
      <c r="G8" s="9">
        <f>IF(DAY(_1ηΚυρΑυγ)=1,_1ηΚυρΑυγ+26,_1ηΚυρΑυγ+33)</f>
        <v>44071</v>
      </c>
      <c r="H8" s="9">
        <f>IF(DAY(_1ηΚυρΑυγ)=1,_1ηΚυρΑυγ+27,_1ηΚυρΑυγ+34)</f>
        <v>44072</v>
      </c>
      <c r="I8" s="9">
        <f>IF(DAY(_1ηΚυρΑυγ)=1,_1ηΚυρΑυγ+28,_1ηΚυρΑυγ+35)</f>
        <v>44073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IF(DAY(_1ηΚυρΑυγ)=1,_1ηΚυρΑυγ+29,_1ηΚυρΑυγ+36)</f>
        <v>44074</v>
      </c>
      <c r="D9" s="9">
        <f>IF(DAY(_1ηΚυρΑυγ)=1,_1ηΚυρΑυγ+30,_1ηΚυρΑυγ+37)</f>
        <v>44075</v>
      </c>
      <c r="E9" s="9">
        <f>IF(DAY(_1ηΚυρΑυγ)=1,_1ηΚυρΑυγ+31,_1ηΚυρΑυγ+38)</f>
        <v>44076</v>
      </c>
      <c r="F9" s="9">
        <f>IF(DAY(_1ηΚυρΑυγ)=1,_1ηΚυρΑυγ+32,_1ηΚυρΑυγ+39)</f>
        <v>44077</v>
      </c>
      <c r="G9" s="9">
        <f>IF(DAY(_1ηΚυρΑυγ)=1,_1ηΚυρΑυγ+33,_1ηΚυρΑυγ+40)</f>
        <v>44078</v>
      </c>
      <c r="H9" s="9">
        <f>IF(DAY(_1ηΚυρΑυγ)=1,_1ηΚυρΑυγ+34,_1ηΚυρΑυγ+41)</f>
        <v>44079</v>
      </c>
      <c r="I9" s="9">
        <f>IF(DAY(_1ηΚυρΑυγ)=1,_1ηΚυρΑυγ+35,_1ηΚυρΑυγ+42)</f>
        <v>44080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9" priority="3" stopIfTrue="1">
      <formula>DAY(C4)&gt;8</formula>
    </cfRule>
  </conditionalFormatting>
  <conditionalFormatting sqref="C8:I10">
    <cfRule type="expression" dxfId="18" priority="2" stopIfTrue="1">
      <formula>AND(DAY(C8)&gt;=1,DAY(C8)&lt;=15)</formula>
    </cfRule>
  </conditionalFormatting>
  <conditionalFormatting sqref="C4:I9">
    <cfRule type="expression" dxfId="17" priority="4">
      <formula>VLOOKUP(DAY(C4),ΗμερομηνίεςΕργασιών,1,FALSE)=DAY(C4)</formula>
    </cfRule>
  </conditionalFormatting>
  <conditionalFormatting sqref="B14:J33">
    <cfRule type="expression" dxfId="16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4"/>
    <pageSetUpPr fitToPage="1"/>
  </sheetPr>
  <dimension ref="A1:N33"/>
  <sheetViews>
    <sheetView showGridLines="0" zoomScaleNormal="100" zoomScalePageLayoutView="84" workbookViewId="0"/>
  </sheetViews>
  <sheetFormatPr defaultColWidth="8.7109375" defaultRowHeight="16.5" customHeight="1" x14ac:dyDescent="0.2"/>
  <cols>
    <col min="1" max="1" width="2.28515625" customWidth="1"/>
    <col min="2" max="2" width="14.7109375" customWidth="1"/>
    <col min="3" max="10" width="7.7109375" customWidth="1"/>
    <col min="11" max="11" width="7.28515625" customWidth="1"/>
    <col min="12" max="12" width="3.85546875" customWidth="1"/>
    <col min="13" max="13" width="51.42578125" customWidth="1"/>
    <col min="14" max="14" width="10.7109375" customWidth="1"/>
    <col min="15" max="15" width="2.28515625" customWidth="1"/>
  </cols>
  <sheetData>
    <row r="1" spans="1:14" ht="11.25" customHeight="1" x14ac:dyDescent="0.2"/>
    <row r="2" spans="1:14" ht="18" customHeight="1" x14ac:dyDescent="0.2">
      <c r="A2" s="3"/>
      <c r="B2" s="26"/>
      <c r="C2" s="18"/>
      <c r="D2" s="18"/>
      <c r="E2" s="18"/>
      <c r="F2" s="18"/>
      <c r="G2" s="18"/>
      <c r="H2" s="18"/>
      <c r="I2" s="18"/>
      <c r="J2" s="19"/>
      <c r="K2" s="66" t="s">
        <v>22</v>
      </c>
      <c r="L2" s="67">
        <v>2013</v>
      </c>
      <c r="M2" s="67"/>
      <c r="N2" s="75">
        <f>ΈτοςΗμερολογίου</f>
        <v>2020</v>
      </c>
    </row>
    <row r="3" spans="1:14" ht="21" customHeight="1" x14ac:dyDescent="0.2">
      <c r="A3" s="3"/>
      <c r="B3" s="30" t="s">
        <v>33</v>
      </c>
      <c r="C3" s="1" t="s">
        <v>9</v>
      </c>
      <c r="D3" s="1" t="s">
        <v>15</v>
      </c>
      <c r="E3" s="1" t="s">
        <v>15</v>
      </c>
      <c r="F3" s="1" t="s">
        <v>15</v>
      </c>
      <c r="G3" s="1" t="s">
        <v>17</v>
      </c>
      <c r="H3" s="1" t="s">
        <v>20</v>
      </c>
      <c r="I3" s="1" t="s">
        <v>20</v>
      </c>
      <c r="J3" s="4"/>
      <c r="K3" s="68"/>
      <c r="L3" s="69"/>
      <c r="M3" s="69"/>
      <c r="N3" s="76"/>
    </row>
    <row r="4" spans="1:14" ht="18" customHeight="1" x14ac:dyDescent="0.2">
      <c r="A4" s="3"/>
      <c r="B4" s="30"/>
      <c r="C4" s="9">
        <f>IF(DAY(_1ηΚυρΣεπ)=1,_1ηΚυρΣεπ-6,_1ηΚυρΣεπ+1)</f>
        <v>44074</v>
      </c>
      <c r="D4" s="9">
        <f>IF(DAY(_1ηΚυρΣεπ)=1,_1ηΚυρΣεπ-5,_1ηΚυρΣεπ+2)</f>
        <v>44075</v>
      </c>
      <c r="E4" s="9">
        <f>IF(DAY(_1ηΚυρΣεπ)=1,_1ηΚυρΣεπ-4,_1ηΚυρΣεπ+3)</f>
        <v>44076</v>
      </c>
      <c r="F4" s="9">
        <f>IF(DAY(_1ηΚυρΣεπ)=1,_1ηΚυρΣεπ-3,_1ηΚυρΣεπ+4)</f>
        <v>44077</v>
      </c>
      <c r="G4" s="9">
        <f>IF(DAY(_1ηΚυρΣεπ)=1,_1ηΚυρΣεπ-2,_1ηΚυρΣεπ+5)</f>
        <v>44078</v>
      </c>
      <c r="H4" s="9">
        <f>IF(DAY(_1ηΚυρΣεπ)=1,_1ηΚυρΣεπ-1,_1ηΚυρΣεπ+6)</f>
        <v>44079</v>
      </c>
      <c r="I4" s="9">
        <f>IF(DAY(_1ηΚυρΣεπ)=1,_1ηΚυρΣεπ,_1ηΚυρΣεπ+7)</f>
        <v>44080</v>
      </c>
      <c r="J4" s="4"/>
      <c r="K4" s="70" t="s">
        <v>2</v>
      </c>
      <c r="L4" s="14"/>
      <c r="M4" s="71"/>
      <c r="N4" s="72"/>
    </row>
    <row r="5" spans="1:14" ht="18" customHeight="1" x14ac:dyDescent="0.2">
      <c r="A5" s="3"/>
      <c r="B5" s="24"/>
      <c r="C5" s="9">
        <f>IF(DAY(_1ηΚυρΣεπ)=1,_1ηΚυρΣεπ+1,_1ηΚυρΣεπ+8)</f>
        <v>44081</v>
      </c>
      <c r="D5" s="9">
        <f>IF(DAY(_1ηΚυρΣεπ)=1,_1ηΚυρΣεπ+2,_1ηΚυρΣεπ+9)</f>
        <v>44082</v>
      </c>
      <c r="E5" s="9">
        <f>IF(DAY(_1ηΚυρΣεπ)=1,_1ηΚυρΣεπ+3,_1ηΚυρΣεπ+10)</f>
        <v>44083</v>
      </c>
      <c r="F5" s="9">
        <f>IF(DAY(_1ηΚυρΣεπ)=1,_1ηΚυρΣεπ+4,_1ηΚυρΣεπ+11)</f>
        <v>44084</v>
      </c>
      <c r="G5" s="9">
        <f>IF(DAY(_1ηΚυρΣεπ)=1,_1ηΚυρΣεπ+5,_1ηΚυρΣεπ+12)</f>
        <v>44085</v>
      </c>
      <c r="H5" s="9">
        <f>IF(DAY(_1ηΚυρΣεπ)=1,_1ηΚυρΣεπ+6,_1ηΚυρΣεπ+13)</f>
        <v>44086</v>
      </c>
      <c r="I5" s="9">
        <f>IF(DAY(_1ηΚυρΣεπ)=1,_1ηΚυρΣεπ+7,_1ηΚυρΣεπ+14)</f>
        <v>44087</v>
      </c>
      <c r="J5" s="4"/>
      <c r="K5" s="62"/>
      <c r="L5" s="15"/>
      <c r="M5" s="35"/>
      <c r="N5" s="36"/>
    </row>
    <row r="6" spans="1:14" ht="18" customHeight="1" x14ac:dyDescent="0.2">
      <c r="A6" s="3"/>
      <c r="B6" s="24"/>
      <c r="C6" s="9">
        <f>IF(DAY(_1ηΚυρΣεπ)=1,_1ηΚυρΣεπ+8,_1ηΚυρΣεπ+15)</f>
        <v>44088</v>
      </c>
      <c r="D6" s="9">
        <f>IF(DAY(_1ηΚυρΣεπ)=1,_1ηΚυρΣεπ+9,_1ηΚυρΣεπ+16)</f>
        <v>44089</v>
      </c>
      <c r="E6" s="9">
        <f>IF(DAY(_1ηΚυρΣεπ)=1,_1ηΚυρΣεπ+10,_1ηΚυρΣεπ+17)</f>
        <v>44090</v>
      </c>
      <c r="F6" s="9">
        <f>IF(DAY(_1ηΚυρΣεπ)=1,_1ηΚυρΣεπ+11,_1ηΚυρΣεπ+18)</f>
        <v>44091</v>
      </c>
      <c r="G6" s="9">
        <f>IF(DAY(_1ηΚυρΣεπ)=1,_1ηΚυρΣεπ+12,_1ηΚυρΣεπ+19)</f>
        <v>44092</v>
      </c>
      <c r="H6" s="9">
        <f>IF(DAY(_1ηΚυρΣεπ)=1,_1ηΚυρΣεπ+13,_1ηΚυρΣεπ+20)</f>
        <v>44093</v>
      </c>
      <c r="I6" s="9">
        <f>IF(DAY(_1ηΚυρΣεπ)=1,_1ηΚυρΣεπ+14,_1ηΚυρΣεπ+21)</f>
        <v>44094</v>
      </c>
      <c r="J6" s="4"/>
      <c r="K6" s="62"/>
      <c r="L6" s="15"/>
      <c r="M6" s="35"/>
      <c r="N6" s="36"/>
    </row>
    <row r="7" spans="1:14" ht="18" customHeight="1" x14ac:dyDescent="0.2">
      <c r="A7" s="3"/>
      <c r="B7" s="24"/>
      <c r="C7" s="9">
        <f>IF(DAY(_1ηΚυρΣεπ)=1,_1ηΚυρΣεπ+15,_1ηΚυρΣεπ+22)</f>
        <v>44095</v>
      </c>
      <c r="D7" s="9">
        <f>IF(DAY(_1ηΚυρΣεπ)=1,_1ηΚυρΣεπ+16,_1ηΚυρΣεπ+23)</f>
        <v>44096</v>
      </c>
      <c r="E7" s="9">
        <f>IF(DAY(_1ηΚυρΣεπ)=1,_1ηΚυρΣεπ+17,_1ηΚυρΣεπ+24)</f>
        <v>44097</v>
      </c>
      <c r="F7" s="9">
        <f>IF(DAY(_1ηΚυρΣεπ)=1,_1ηΚυρΣεπ+18,_1ηΚυρΣεπ+25)</f>
        <v>44098</v>
      </c>
      <c r="G7" s="9">
        <f>IF(DAY(_1ηΚυρΣεπ)=1,_1ηΚυρΣεπ+19,_1ηΚυρΣεπ+26)</f>
        <v>44099</v>
      </c>
      <c r="H7" s="9">
        <f>IF(DAY(_1ηΚυρΣεπ)=1,_1ηΚυρΣεπ+20,_1ηΚυρΣεπ+27)</f>
        <v>44100</v>
      </c>
      <c r="I7" s="9">
        <f>IF(DAY(_1ηΚυρΣεπ)=1,_1ηΚυρΣεπ+21,_1ηΚυρΣεπ+28)</f>
        <v>44101</v>
      </c>
      <c r="J7" s="4"/>
      <c r="K7" s="10"/>
      <c r="L7" s="15"/>
      <c r="M7" s="35"/>
      <c r="N7" s="36"/>
    </row>
    <row r="8" spans="1:14" ht="18.75" customHeight="1" x14ac:dyDescent="0.2">
      <c r="A8" s="3"/>
      <c r="B8" s="24"/>
      <c r="C8" s="9">
        <f>IF(DAY(_1ηΚυρΣεπ)=1,_1ηΚυρΣεπ+22,_1ηΚυρΣεπ+29)</f>
        <v>44102</v>
      </c>
      <c r="D8" s="9">
        <f>IF(DAY(_1ηΚυρΣεπ)=1,_1ηΚυρΣεπ+23,_1ηΚυρΣεπ+30)</f>
        <v>44103</v>
      </c>
      <c r="E8" s="9">
        <f>IF(DAY(_1ηΚυρΣεπ)=1,_1ηΚυρΣεπ+24,_1ηΚυρΣεπ+31)</f>
        <v>44104</v>
      </c>
      <c r="F8" s="9">
        <f>IF(DAY(_1ηΚυρΣεπ)=1,_1ηΚυρΣεπ+25,_1ηΚυρΣεπ+32)</f>
        <v>44105</v>
      </c>
      <c r="G8" s="9">
        <f>IF(DAY(_1ηΚυρΣεπ)=1,_1ηΚυρΣεπ+26,_1ηΚυρΣεπ+33)</f>
        <v>44106</v>
      </c>
      <c r="H8" s="9">
        <f>IF(DAY(_1ηΚυρΣεπ)=1,_1ηΚυρΣεπ+27,_1ηΚυρΣεπ+34)</f>
        <v>44107</v>
      </c>
      <c r="I8" s="9">
        <f>IF(DAY(_1ηΚυρΣεπ)=1,_1ηΚυρΣεπ+28,_1ηΚυρΣεπ+35)</f>
        <v>44108</v>
      </c>
      <c r="J8" s="4"/>
      <c r="K8" s="10"/>
      <c r="L8" s="15"/>
      <c r="M8" s="35"/>
      <c r="N8" s="36"/>
    </row>
    <row r="9" spans="1:14" ht="18" customHeight="1" x14ac:dyDescent="0.2">
      <c r="A9" s="3"/>
      <c r="B9" s="24"/>
      <c r="C9" s="9">
        <f>IF(DAY(_1ηΚυρΣεπ)=1,_1ηΚυρΣεπ+29,_1ηΚυρΣεπ+36)</f>
        <v>44109</v>
      </c>
      <c r="D9" s="9">
        <f>IF(DAY(_1ηΚυρΣεπ)=1,_1ηΚυρΣεπ+30,_1ηΚυρΣεπ+37)</f>
        <v>44110</v>
      </c>
      <c r="E9" s="9">
        <f>IF(DAY(_1ηΚυρΣεπ)=1,_1ηΚυρΣεπ+31,_1ηΚυρΣεπ+38)</f>
        <v>44111</v>
      </c>
      <c r="F9" s="9">
        <f>IF(DAY(_1ηΚυρΣεπ)=1,_1ηΚυρΣεπ+32,_1ηΚυρΣεπ+39)</f>
        <v>44112</v>
      </c>
      <c r="G9" s="9">
        <f>IF(DAY(_1ηΚυρΣεπ)=1,_1ηΚυρΣεπ+33,_1ηΚυρΣεπ+40)</f>
        <v>44113</v>
      </c>
      <c r="H9" s="9">
        <f>IF(DAY(_1ηΚυρΣεπ)=1,_1ηΚυρΣεπ+34,_1ηΚυρΣεπ+41)</f>
        <v>44114</v>
      </c>
      <c r="I9" s="9">
        <f>IF(DAY(_1ηΚυρΣεπ)=1,_1ηΚυρΣεπ+35,_1ηΚυρΣεπ+42)</f>
        <v>44115</v>
      </c>
      <c r="J9" s="4"/>
      <c r="K9" s="11"/>
      <c r="L9" s="16"/>
      <c r="M9" s="39"/>
      <c r="N9" s="40"/>
    </row>
    <row r="10" spans="1:14" ht="18" customHeight="1" x14ac:dyDescent="0.2">
      <c r="A10" s="3"/>
      <c r="B10" s="25"/>
      <c r="C10" s="27"/>
      <c r="D10" s="27"/>
      <c r="E10" s="27"/>
      <c r="F10" s="27"/>
      <c r="G10" s="27"/>
      <c r="H10" s="27"/>
      <c r="I10" s="27"/>
      <c r="J10" s="20"/>
      <c r="K10" s="61" t="s">
        <v>10</v>
      </c>
      <c r="L10" s="14"/>
      <c r="M10" s="41"/>
      <c r="N10" s="42"/>
    </row>
    <row r="11" spans="1:14" ht="18" customHeight="1" x14ac:dyDescent="0.2">
      <c r="A11" s="3"/>
      <c r="B11" s="32" t="s">
        <v>1</v>
      </c>
      <c r="C11" s="33"/>
      <c r="D11" s="33"/>
      <c r="E11" s="33"/>
      <c r="F11" s="33"/>
      <c r="G11" s="33"/>
      <c r="H11" s="33"/>
      <c r="I11" s="33"/>
      <c r="J11" s="34"/>
      <c r="K11" s="62"/>
      <c r="L11" s="15"/>
      <c r="M11" s="35"/>
      <c r="N11" s="36"/>
    </row>
    <row r="12" spans="1:14" ht="18" customHeight="1" x14ac:dyDescent="0.2">
      <c r="A12" s="3"/>
      <c r="B12" s="32"/>
      <c r="C12" s="33"/>
      <c r="D12" s="33"/>
      <c r="E12" s="33"/>
      <c r="F12" s="33"/>
      <c r="G12" s="33"/>
      <c r="H12" s="33"/>
      <c r="I12" s="33"/>
      <c r="J12" s="34"/>
      <c r="K12" s="62"/>
      <c r="L12" s="15"/>
      <c r="M12" s="35"/>
      <c r="N12" s="36"/>
    </row>
    <row r="13" spans="1:14" ht="18" customHeight="1" x14ac:dyDescent="0.2">
      <c r="B13" s="2" t="s">
        <v>2</v>
      </c>
      <c r="C13" s="63" t="s">
        <v>10</v>
      </c>
      <c r="D13" s="65"/>
      <c r="E13" s="63" t="s">
        <v>16</v>
      </c>
      <c r="F13" s="65"/>
      <c r="G13" s="63" t="s">
        <v>18</v>
      </c>
      <c r="H13" s="65"/>
      <c r="I13" s="63" t="s">
        <v>21</v>
      </c>
      <c r="J13" s="64"/>
      <c r="K13" s="10"/>
      <c r="L13" s="15"/>
      <c r="M13" s="35"/>
      <c r="N13" s="36"/>
    </row>
    <row r="14" spans="1:14" ht="18" customHeight="1" x14ac:dyDescent="0.2">
      <c r="B14" s="7" t="s">
        <v>3</v>
      </c>
      <c r="C14" s="43"/>
      <c r="D14" s="44"/>
      <c r="E14" s="43" t="s">
        <v>3</v>
      </c>
      <c r="F14" s="44"/>
      <c r="G14" s="43"/>
      <c r="H14" s="44"/>
      <c r="I14" s="43" t="s">
        <v>3</v>
      </c>
      <c r="J14" s="55"/>
      <c r="K14" s="10"/>
      <c r="L14" s="15"/>
      <c r="M14" s="35"/>
      <c r="N14" s="36"/>
    </row>
    <row r="15" spans="1:14" ht="18" customHeight="1" x14ac:dyDescent="0.2">
      <c r="B15" s="5" t="s">
        <v>4</v>
      </c>
      <c r="C15" s="45"/>
      <c r="D15" s="46"/>
      <c r="E15" s="45" t="s">
        <v>4</v>
      </c>
      <c r="F15" s="46"/>
      <c r="G15" s="45"/>
      <c r="H15" s="46"/>
      <c r="I15" s="45" t="s">
        <v>4</v>
      </c>
      <c r="J15" s="51"/>
      <c r="K15" s="12"/>
      <c r="L15" s="17"/>
      <c r="M15" s="39"/>
      <c r="N15" s="40"/>
    </row>
    <row r="16" spans="1:14" ht="18" customHeight="1" x14ac:dyDescent="0.2">
      <c r="B16" s="7"/>
      <c r="C16" s="43" t="s">
        <v>11</v>
      </c>
      <c r="D16" s="44"/>
      <c r="E16" s="43"/>
      <c r="F16" s="44"/>
      <c r="G16" s="43" t="s">
        <v>11</v>
      </c>
      <c r="H16" s="44"/>
      <c r="I16" s="52"/>
      <c r="J16" s="53"/>
      <c r="K16" s="61" t="s">
        <v>16</v>
      </c>
      <c r="L16" s="14"/>
      <c r="M16" s="41"/>
      <c r="N16" s="42"/>
    </row>
    <row r="17" spans="2:14" ht="18" customHeight="1" x14ac:dyDescent="0.2">
      <c r="B17" s="5"/>
      <c r="C17" s="45" t="s">
        <v>12</v>
      </c>
      <c r="D17" s="46"/>
      <c r="E17" s="45"/>
      <c r="F17" s="46"/>
      <c r="G17" s="45" t="s">
        <v>12</v>
      </c>
      <c r="H17" s="46"/>
      <c r="I17" s="45"/>
      <c r="J17" s="51"/>
      <c r="K17" s="62"/>
      <c r="L17" s="15"/>
      <c r="M17" s="35"/>
      <c r="N17" s="36"/>
    </row>
    <row r="18" spans="2:14" ht="18" customHeight="1" x14ac:dyDescent="0.2">
      <c r="B18" s="8" t="s">
        <v>5</v>
      </c>
      <c r="C18" s="58"/>
      <c r="D18" s="59"/>
      <c r="E18" s="58" t="s">
        <v>5</v>
      </c>
      <c r="F18" s="59"/>
      <c r="G18" s="58"/>
      <c r="H18" s="59"/>
      <c r="I18" s="58" t="s">
        <v>5</v>
      </c>
      <c r="J18" s="60"/>
      <c r="K18" s="62"/>
      <c r="L18" s="15"/>
      <c r="M18" s="35"/>
      <c r="N18" s="36"/>
    </row>
    <row r="19" spans="2:14" ht="18" customHeight="1" x14ac:dyDescent="0.2">
      <c r="B19" s="5" t="s">
        <v>6</v>
      </c>
      <c r="C19" s="45"/>
      <c r="D19" s="46"/>
      <c r="E19" s="45" t="s">
        <v>6</v>
      </c>
      <c r="F19" s="46"/>
      <c r="G19" s="45"/>
      <c r="H19" s="46"/>
      <c r="I19" s="45" t="s">
        <v>6</v>
      </c>
      <c r="J19" s="51"/>
      <c r="K19" s="10"/>
      <c r="L19" s="15"/>
      <c r="M19" s="35"/>
      <c r="N19" s="36"/>
    </row>
    <row r="20" spans="2:14" ht="18" customHeight="1" x14ac:dyDescent="0.2">
      <c r="B20" s="7"/>
      <c r="C20" s="43"/>
      <c r="D20" s="44"/>
      <c r="E20" s="43"/>
      <c r="F20" s="44"/>
      <c r="G20" s="43"/>
      <c r="H20" s="44"/>
      <c r="I20" s="43"/>
      <c r="J20" s="55"/>
      <c r="K20" s="10"/>
      <c r="L20" s="15"/>
      <c r="M20" s="35"/>
      <c r="N20" s="36"/>
    </row>
    <row r="21" spans="2:14" ht="18" customHeight="1" x14ac:dyDescent="0.2">
      <c r="B21" s="5"/>
      <c r="C21" s="45"/>
      <c r="D21" s="46"/>
      <c r="E21" s="45"/>
      <c r="F21" s="46"/>
      <c r="G21" s="45"/>
      <c r="H21" s="46"/>
      <c r="I21" s="56"/>
      <c r="J21" s="57"/>
      <c r="K21" s="12"/>
      <c r="L21" s="17"/>
      <c r="M21" s="39"/>
      <c r="N21" s="40"/>
    </row>
    <row r="22" spans="2:14" ht="18" customHeight="1" x14ac:dyDescent="0.2">
      <c r="B22" s="7"/>
      <c r="C22" s="43"/>
      <c r="D22" s="44"/>
      <c r="E22" s="43"/>
      <c r="F22" s="44"/>
      <c r="G22" s="43"/>
      <c r="H22" s="44"/>
      <c r="I22" s="43"/>
      <c r="J22" s="55"/>
      <c r="K22" s="61" t="s">
        <v>18</v>
      </c>
      <c r="L22" s="14"/>
      <c r="M22" s="41"/>
      <c r="N22" s="42"/>
    </row>
    <row r="23" spans="2:14" ht="18" customHeight="1" x14ac:dyDescent="0.2">
      <c r="B23" s="5"/>
      <c r="C23" s="45"/>
      <c r="D23" s="46"/>
      <c r="E23" s="45"/>
      <c r="F23" s="46"/>
      <c r="G23" s="45"/>
      <c r="H23" s="46"/>
      <c r="I23" s="45"/>
      <c r="J23" s="51"/>
      <c r="K23" s="62"/>
      <c r="L23" s="15"/>
      <c r="M23" s="35"/>
      <c r="N23" s="36"/>
    </row>
    <row r="24" spans="2:14" ht="18" customHeight="1" x14ac:dyDescent="0.2">
      <c r="B24" s="7"/>
      <c r="C24" s="43"/>
      <c r="D24" s="44"/>
      <c r="E24" s="43"/>
      <c r="F24" s="44"/>
      <c r="G24" s="43"/>
      <c r="H24" s="44"/>
      <c r="I24" s="43"/>
      <c r="J24" s="55"/>
      <c r="K24" s="62"/>
      <c r="L24" s="15"/>
      <c r="M24" s="35"/>
      <c r="N24" s="36"/>
    </row>
    <row r="25" spans="2:14" ht="18" customHeight="1" x14ac:dyDescent="0.2">
      <c r="B25" s="5"/>
      <c r="C25" s="45"/>
      <c r="D25" s="46"/>
      <c r="E25" s="45"/>
      <c r="F25" s="46"/>
      <c r="G25" s="45"/>
      <c r="H25" s="46"/>
      <c r="I25" s="45"/>
      <c r="J25" s="51"/>
      <c r="K25" s="62"/>
      <c r="L25" s="15"/>
      <c r="M25" s="35"/>
      <c r="N25" s="36"/>
    </row>
    <row r="26" spans="2:14" ht="18" customHeight="1" x14ac:dyDescent="0.2">
      <c r="B26" s="7" t="s">
        <v>7</v>
      </c>
      <c r="C26" s="43"/>
      <c r="D26" s="44"/>
      <c r="E26" s="43" t="s">
        <v>7</v>
      </c>
      <c r="F26" s="44"/>
      <c r="G26" s="43"/>
      <c r="H26" s="44"/>
      <c r="I26" s="43" t="s">
        <v>7</v>
      </c>
      <c r="J26" s="55"/>
      <c r="K26" s="10"/>
      <c r="L26" s="15"/>
      <c r="M26" s="35"/>
      <c r="N26" s="36"/>
    </row>
    <row r="27" spans="2:14" ht="18" customHeight="1" x14ac:dyDescent="0.2">
      <c r="B27" s="5" t="s">
        <v>8</v>
      </c>
      <c r="C27" s="45"/>
      <c r="D27" s="46"/>
      <c r="E27" s="45" t="s">
        <v>8</v>
      </c>
      <c r="F27" s="46"/>
      <c r="G27" s="45"/>
      <c r="H27" s="46"/>
      <c r="I27" s="45" t="s">
        <v>8</v>
      </c>
      <c r="J27" s="51"/>
      <c r="K27" s="12"/>
      <c r="L27" s="17"/>
      <c r="M27" s="39"/>
      <c r="N27" s="40"/>
    </row>
    <row r="28" spans="2:14" ht="18" customHeight="1" x14ac:dyDescent="0.2">
      <c r="B28" s="7"/>
      <c r="C28" s="43"/>
      <c r="D28" s="44"/>
      <c r="E28" s="43"/>
      <c r="F28" s="44"/>
      <c r="G28" s="43"/>
      <c r="H28" s="44"/>
      <c r="I28" s="43"/>
      <c r="J28" s="55"/>
      <c r="K28" s="61" t="s">
        <v>21</v>
      </c>
      <c r="L28" s="14"/>
      <c r="M28" s="41"/>
      <c r="N28" s="42"/>
    </row>
    <row r="29" spans="2:14" ht="18" customHeight="1" x14ac:dyDescent="0.2">
      <c r="B29" s="5"/>
      <c r="C29" s="45"/>
      <c r="D29" s="46"/>
      <c r="E29" s="45"/>
      <c r="F29" s="46"/>
      <c r="G29" s="45"/>
      <c r="H29" s="46"/>
      <c r="I29" s="45"/>
      <c r="J29" s="51"/>
      <c r="K29" s="62"/>
      <c r="L29" s="15"/>
      <c r="M29" s="35"/>
      <c r="N29" s="36"/>
    </row>
    <row r="30" spans="2:14" ht="18" customHeight="1" x14ac:dyDescent="0.2">
      <c r="B30" s="7"/>
      <c r="C30" s="43" t="s">
        <v>13</v>
      </c>
      <c r="D30" s="44"/>
      <c r="E30" s="43"/>
      <c r="F30" s="44"/>
      <c r="G30" s="43" t="s">
        <v>13</v>
      </c>
      <c r="H30" s="44"/>
      <c r="I30" s="49"/>
      <c r="J30" s="50"/>
      <c r="K30" s="62"/>
      <c r="L30" s="15"/>
      <c r="M30" s="35"/>
      <c r="N30" s="36"/>
    </row>
    <row r="31" spans="2:14" ht="18" customHeight="1" x14ac:dyDescent="0.2">
      <c r="B31" s="5"/>
      <c r="C31" s="45" t="s">
        <v>14</v>
      </c>
      <c r="D31" s="46"/>
      <c r="E31" s="45"/>
      <c r="F31" s="46"/>
      <c r="G31" s="45" t="s">
        <v>14</v>
      </c>
      <c r="H31" s="46"/>
      <c r="I31" s="45"/>
      <c r="J31" s="51"/>
      <c r="K31" s="13"/>
      <c r="L31" s="15"/>
      <c r="M31" s="35"/>
      <c r="N31" s="36"/>
    </row>
    <row r="32" spans="2:14" ht="18" customHeight="1" x14ac:dyDescent="0.2">
      <c r="B32" s="7"/>
      <c r="C32" s="43"/>
      <c r="D32" s="44"/>
      <c r="E32" s="43"/>
      <c r="F32" s="44"/>
      <c r="G32" s="43"/>
      <c r="H32" s="44"/>
      <c r="I32" s="52"/>
      <c r="J32" s="53"/>
      <c r="K32" s="13"/>
      <c r="L32" s="15"/>
      <c r="M32" s="35"/>
      <c r="N32" s="36"/>
    </row>
    <row r="33" spans="2:14" ht="18" customHeight="1" x14ac:dyDescent="0.2">
      <c r="B33" s="6"/>
      <c r="C33" s="47"/>
      <c r="D33" s="48"/>
      <c r="E33" s="47"/>
      <c r="F33" s="48"/>
      <c r="G33" s="47"/>
      <c r="H33" s="48"/>
      <c r="I33" s="47"/>
      <c r="J33" s="54"/>
      <c r="K33" s="28"/>
      <c r="L33" s="29"/>
      <c r="M33" s="37"/>
      <c r="N33" s="38"/>
    </row>
  </sheetData>
  <mergeCells count="123">
    <mergeCell ref="K10:K12"/>
    <mergeCell ref="N2:N3"/>
    <mergeCell ref="M10:N10"/>
    <mergeCell ref="B11:J12"/>
    <mergeCell ref="M11:N11"/>
    <mergeCell ref="M12:N12"/>
    <mergeCell ref="C13:D13"/>
    <mergeCell ref="E13:F13"/>
    <mergeCell ref="G13:H13"/>
    <mergeCell ref="I13:J13"/>
    <mergeCell ref="M13:N13"/>
    <mergeCell ref="B3:B4"/>
    <mergeCell ref="K2:M3"/>
    <mergeCell ref="K4:K6"/>
    <mergeCell ref="M4:N4"/>
    <mergeCell ref="M5:N5"/>
    <mergeCell ref="M6:N6"/>
    <mergeCell ref="M7:N7"/>
    <mergeCell ref="M8:N8"/>
    <mergeCell ref="M9:N9"/>
    <mergeCell ref="C14:D14"/>
    <mergeCell ref="E14:F14"/>
    <mergeCell ref="G14:H14"/>
    <mergeCell ref="I14:J14"/>
    <mergeCell ref="M14:N14"/>
    <mergeCell ref="C15:D15"/>
    <mergeCell ref="E15:F15"/>
    <mergeCell ref="G15:H15"/>
    <mergeCell ref="I15:J15"/>
    <mergeCell ref="M15:N15"/>
    <mergeCell ref="M17:N17"/>
    <mergeCell ref="C18:D18"/>
    <mergeCell ref="E18:F18"/>
    <mergeCell ref="G18:H18"/>
    <mergeCell ref="I18:J18"/>
    <mergeCell ref="M18:N18"/>
    <mergeCell ref="C16:D16"/>
    <mergeCell ref="E16:F16"/>
    <mergeCell ref="G16:H16"/>
    <mergeCell ref="I16:J16"/>
    <mergeCell ref="K16:K18"/>
    <mergeCell ref="M16:N16"/>
    <mergeCell ref="C17:D17"/>
    <mergeCell ref="E17:F17"/>
    <mergeCell ref="G17:H17"/>
    <mergeCell ref="I17:J17"/>
    <mergeCell ref="C19:D19"/>
    <mergeCell ref="E19:F19"/>
    <mergeCell ref="G19:H19"/>
    <mergeCell ref="I19:J19"/>
    <mergeCell ref="M19:N19"/>
    <mergeCell ref="C20:D20"/>
    <mergeCell ref="E20:F20"/>
    <mergeCell ref="G20:H20"/>
    <mergeCell ref="I20:J20"/>
    <mergeCell ref="M20:N20"/>
    <mergeCell ref="M22:N22"/>
    <mergeCell ref="C23:D23"/>
    <mergeCell ref="E23:F23"/>
    <mergeCell ref="G23:H23"/>
    <mergeCell ref="I23:J23"/>
    <mergeCell ref="M23:N23"/>
    <mergeCell ref="C21:D21"/>
    <mergeCell ref="E21:F21"/>
    <mergeCell ref="G21:H21"/>
    <mergeCell ref="I21:J21"/>
    <mergeCell ref="M21:N21"/>
    <mergeCell ref="C22:D22"/>
    <mergeCell ref="E22:F22"/>
    <mergeCell ref="G22:H22"/>
    <mergeCell ref="I22:J22"/>
    <mergeCell ref="K22:K25"/>
    <mergeCell ref="C24:D24"/>
    <mergeCell ref="E24:F24"/>
    <mergeCell ref="G24:H24"/>
    <mergeCell ref="I24:J24"/>
    <mergeCell ref="M24:N24"/>
    <mergeCell ref="C25:D25"/>
    <mergeCell ref="E25:F25"/>
    <mergeCell ref="G25:H25"/>
    <mergeCell ref="I25:J25"/>
    <mergeCell ref="M25:N25"/>
    <mergeCell ref="C26:D26"/>
    <mergeCell ref="E26:F26"/>
    <mergeCell ref="G26:H26"/>
    <mergeCell ref="I26:J26"/>
    <mergeCell ref="M26:N26"/>
    <mergeCell ref="C27:D27"/>
    <mergeCell ref="E27:F27"/>
    <mergeCell ref="G27:H27"/>
    <mergeCell ref="I27:J27"/>
    <mergeCell ref="M27:N27"/>
    <mergeCell ref="M29:N29"/>
    <mergeCell ref="C30:D30"/>
    <mergeCell ref="E30:F30"/>
    <mergeCell ref="G30:H30"/>
    <mergeCell ref="I30:J30"/>
    <mergeCell ref="M30:N30"/>
    <mergeCell ref="C28:D28"/>
    <mergeCell ref="E28:F28"/>
    <mergeCell ref="G28:H28"/>
    <mergeCell ref="I28:J28"/>
    <mergeCell ref="K28:K30"/>
    <mergeCell ref="M28:N28"/>
    <mergeCell ref="C29:D29"/>
    <mergeCell ref="E29:F29"/>
    <mergeCell ref="G29:H29"/>
    <mergeCell ref="I29:J29"/>
    <mergeCell ref="C33:D33"/>
    <mergeCell ref="E33:F33"/>
    <mergeCell ref="G33:H33"/>
    <mergeCell ref="I33:J33"/>
    <mergeCell ref="M33:N33"/>
    <mergeCell ref="C31:D31"/>
    <mergeCell ref="E31:F31"/>
    <mergeCell ref="G31:H31"/>
    <mergeCell ref="I31:J31"/>
    <mergeCell ref="M31:N31"/>
    <mergeCell ref="C32:D32"/>
    <mergeCell ref="E32:F32"/>
    <mergeCell ref="G32:H32"/>
    <mergeCell ref="I32:J32"/>
    <mergeCell ref="M32:N32"/>
  </mergeCells>
  <conditionalFormatting sqref="C4:H4">
    <cfRule type="expression" dxfId="15" priority="3" stopIfTrue="1">
      <formula>DAY(C4)&gt;8</formula>
    </cfRule>
  </conditionalFormatting>
  <conditionalFormatting sqref="C8:I10">
    <cfRule type="expression" dxfId="14" priority="2" stopIfTrue="1">
      <formula>AND(DAY(C8)&gt;=1,DAY(C8)&lt;=15)</formula>
    </cfRule>
  </conditionalFormatting>
  <conditionalFormatting sqref="C4:I9">
    <cfRule type="expression" dxfId="13" priority="4">
      <formula>VLOOKUP(DAY(C4),ΗμερομηνίεςΕργασιών,1,FALSE)=DAY(C4)</formula>
    </cfRule>
  </conditionalFormatting>
  <conditionalFormatting sqref="B14:J33">
    <cfRule type="expression" dxfId="12" priority="1">
      <formula>B14&lt;&gt;""</formula>
    </cfRule>
  </conditionalFormatting>
  <printOptions horizontalCentered="1" verticalCentered="1"/>
  <pageMargins left="0.5" right="0.5" top="0.5" bottom="0.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Καθορισμένες περιοχές</vt:lpstr>
      </vt:variant>
      <vt:variant>
        <vt:i4>37</vt:i4>
      </vt:variant>
    </vt:vector>
  </HeadingPairs>
  <TitlesOfParts>
    <vt:vector size="49" baseType="lpstr">
      <vt:lpstr>Ιαν</vt:lpstr>
      <vt:lpstr>Φεβ</vt:lpstr>
      <vt:lpstr>Μάρ</vt:lpstr>
      <vt:lpstr>Απρ</vt:lpstr>
      <vt:lpstr>Μαϊ</vt:lpstr>
      <vt:lpstr>Ιουν</vt:lpstr>
      <vt:lpstr>Ιουλ</vt:lpstr>
      <vt:lpstr>Αυγ</vt:lpstr>
      <vt:lpstr>Σεπ</vt:lpstr>
      <vt:lpstr>Οκτ</vt:lpstr>
      <vt:lpstr>Νοε</vt:lpstr>
      <vt:lpstr>Δεκ</vt:lpstr>
      <vt:lpstr>Απρ!Print_Area</vt:lpstr>
      <vt:lpstr>Αυγ!Print_Area</vt:lpstr>
      <vt:lpstr>Δεκ!Print_Area</vt:lpstr>
      <vt:lpstr>Ιαν!Print_Area</vt:lpstr>
      <vt:lpstr>Ιουλ!Print_Area</vt:lpstr>
      <vt:lpstr>Ιουν!Print_Area</vt:lpstr>
      <vt:lpstr>Μαϊ!Print_Area</vt:lpstr>
      <vt:lpstr>Μάρ!Print_Area</vt:lpstr>
      <vt:lpstr>Νοε!Print_Area</vt:lpstr>
      <vt:lpstr>Οκτ!Print_Area</vt:lpstr>
      <vt:lpstr>Σεπ!Print_Area</vt:lpstr>
      <vt:lpstr>Φεβ!Print_Area</vt:lpstr>
      <vt:lpstr>ΈτοςΗμερολογίου</vt:lpstr>
      <vt:lpstr>Απρ!ΗμερομηνίεςΕργασιών</vt:lpstr>
      <vt:lpstr>Αυγ!ΗμερομηνίεςΕργασιών</vt:lpstr>
      <vt:lpstr>Δεκ!ΗμερομηνίεςΕργασιών</vt:lpstr>
      <vt:lpstr>Ιουλ!ΗμερομηνίεςΕργασιών</vt:lpstr>
      <vt:lpstr>Ιουν!ΗμερομηνίεςΕργασιών</vt:lpstr>
      <vt:lpstr>Μαϊ!ΗμερομηνίεςΕργασιών</vt:lpstr>
      <vt:lpstr>Μάρ!ΗμερομηνίεςΕργασιών</vt:lpstr>
      <vt:lpstr>Νοε!ΗμερομηνίεςΕργασιών</vt:lpstr>
      <vt:lpstr>Οκτ!ΗμερομηνίεςΕργασιών</vt:lpstr>
      <vt:lpstr>Σεπ!ΗμερομηνίεςΕργασιών</vt:lpstr>
      <vt:lpstr>Φεβ!ΗμερομηνίεςΕργασιών</vt:lpstr>
      <vt:lpstr>ΗμερομηνίεςΕργασιών</vt:lpstr>
      <vt:lpstr>Απρ!ΠίνακαςΣημαντικώνΗμερομηνιών</vt:lpstr>
      <vt:lpstr>Αυγ!ΠίνακαςΣημαντικώνΗμερομηνιών</vt:lpstr>
      <vt:lpstr>Δεκ!ΠίνακαςΣημαντικώνΗμερομηνιών</vt:lpstr>
      <vt:lpstr>Ιουλ!ΠίνακαςΣημαντικώνΗμερομηνιών</vt:lpstr>
      <vt:lpstr>Ιουν!ΠίνακαςΣημαντικώνΗμερομηνιών</vt:lpstr>
      <vt:lpstr>Μαϊ!ΠίνακαςΣημαντικώνΗμερομηνιών</vt:lpstr>
      <vt:lpstr>Μάρ!ΠίνακαςΣημαντικώνΗμερομηνιών</vt:lpstr>
      <vt:lpstr>Νοε!ΠίνακαςΣημαντικώνΗμερομηνιών</vt:lpstr>
      <vt:lpstr>Οκτ!ΠίνακαςΣημαντικώνΗμερομηνιών</vt:lpstr>
      <vt:lpstr>Σεπ!ΠίνακαςΣημαντικώνΗμερομηνιών</vt:lpstr>
      <vt:lpstr>Φεβ!ΠίνακαςΣημαντικώνΗμερομηνιών</vt:lpstr>
      <vt:lpstr>ΠίνακαςΣημαντικώνΗμερομηνιών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2013-11-22T23:20:39Z</dcterms:created>
  <dcterms:modified xsi:type="dcterms:W3CDTF">2020-02-17T06:05:35Z</dcterms:modified>
</cp:coreProperties>
</file>