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90" windowHeight="16110" xr2:uid="{00000000-000D-0000-FFFF-FFFF00000000}"/>
  </bookViews>
  <sheets>
    <sheet name="START" sheetId="4" r:id="rId1"/>
    <sheet name="PROJEKTPARAMETRE" sheetId="1" r:id="rId2"/>
    <sheet name="PROJEKTOPLYSNINGER" sheetId="2" r:id="rId3"/>
    <sheet name="PROJEKTTOTALER" sheetId="3" r:id="rId4"/>
  </sheets>
  <definedNames>
    <definedName name="Projekttype">Parametre[PROJEKTTYPE]</definedName>
    <definedName name="_xlnm.Print_Titles" localSheetId="2">PROJEKTOPLYSNINGER!$4:$4</definedName>
    <definedName name="_xlnm.Print_Titles" localSheetId="3">PROJEKTTOTALER!$4:$4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F7" i="2" l="1"/>
  <c r="G7" i="2"/>
  <c r="B3" i="1" l="1"/>
  <c r="B3" i="3" s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10" i="2"/>
  <c r="H10" i="2"/>
  <c r="I6" i="1"/>
  <c r="I7" i="1"/>
  <c r="I8" i="1"/>
  <c r="I9" i="1"/>
  <c r="I10" i="1"/>
  <c r="I11" i="1"/>
  <c r="H17" i="1" l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  <c r="J10" i="2"/>
  <c r="K10" i="2"/>
</calcChain>
</file>

<file path=xl/sharedStrings.xml><?xml version="1.0" encoding="utf-8"?>
<sst xmlns="http://schemas.openxmlformats.org/spreadsheetml/2006/main" count="106" uniqueCount="75">
  <si>
    <t>OM DENNE SKABELON</t>
  </si>
  <si>
    <t>Spor projektparametre, projektoplysninger og projekttotaler i denne projektmappe til planlægning af begivenhed.</t>
  </si>
  <si>
    <t>Angiv oplysninger i regnearket Projektparametre for at opdatere kolonnediagrammer samt i regnearket Projektoplysninger. Pivottabellen i regnearket Projekttotaler opdateres automatisk.</t>
  </si>
  <si>
    <t>Udfyld Firmanavn i regnearket Parametre, så opdateres det automatisk i andre regneark.</t>
  </si>
  <si>
    <t xml:space="preserve">Bemærk!  </t>
  </si>
  <si>
    <t>Der er yderligere vejledning at finde i kolonne A i hvert regneark i projektmappen BEGIVENHEDSPLANLÆGNING. Denne tekst er skjult med vilje. Du kan fjerne tekst ved at markere kolonne A og derefter vælge Slet. For ikke længere at skjule tekst skal du markere kolonne A og derefter ændre skriftfarven.</t>
  </si>
  <si>
    <t>Hvis du vil vide mere om tabellerne i regnearkene, skal du trykke på Skift og derefter F10, mens du er i en tabel, vælge indstillingen Tabel og derefter vælge Alternativ tekst.</t>
  </si>
  <si>
    <t>Opret Projektparametre i dette regneark. Angiv firmanavn i cellen til højre. Der vises nyttig vejledning i cellerne i denne kolonne. Pil ned for at starte.</t>
  </si>
  <si>
    <t>Titlen på dette regneark vises i cellen til højre.</t>
  </si>
  <si>
    <t>En meddelelse om fortrolighed vises i cellen til højre.</t>
  </si>
  <si>
    <t>Tip findes i cellen til højre.</t>
  </si>
  <si>
    <t>Angiv oplysninger i tabellen Parametre, der starter i cellen til højre. Den næste vejledning er i celle A12.</t>
  </si>
  <si>
    <t>Angiv Blandede satser i cellerne til højre, cellerne C12 til H12. Den næste vejledning er i celle A14.</t>
  </si>
  <si>
    <t>Søjlediagram, der viser planlagte i forhold til faktiske omkostninger, er i cellen til højre, og et søjlediagram, der viser planlagte i forhold til faktiske timer, er i celle F14.</t>
  </si>
  <si>
    <t>Firmanavn</t>
  </si>
  <si>
    <t>Projektsporing af begivenhedsadministration</t>
  </si>
  <si>
    <t>De nedtonede celler beregnes for dig. Du behøver ikke at angive noget i dem.</t>
  </si>
  <si>
    <t>PROJEKTTYPE</t>
  </si>
  <si>
    <t>Udvikling af begivenhedsstrategi</t>
  </si>
  <si>
    <t>Begivenhedsplanlægning</t>
  </si>
  <si>
    <t>Begivenhedsdesign</t>
  </si>
  <si>
    <t>Logistik for begivenhed</t>
  </si>
  <si>
    <t>Personale ved begivenhed</t>
  </si>
  <si>
    <t>Vurdering af begivenhed</t>
  </si>
  <si>
    <t>Blandede satser</t>
  </si>
  <si>
    <t>PLANLAGTE OMKOSTNINGER</t>
  </si>
  <si>
    <t>FAKTISKE OMKOSTNINGER</t>
  </si>
  <si>
    <t>PLANLAGTE TIMER</t>
  </si>
  <si>
    <t>FAKTISKE TIMER</t>
  </si>
  <si>
    <t>Søjlediagram, der viser planlagte i forhold til faktiske omkostninger, er i denne celle.</t>
  </si>
  <si>
    <t>KONTOADMINISTRATOR</t>
  </si>
  <si>
    <t>PROJEKTLEDER</t>
  </si>
  <si>
    <t>STRATEGILEDER</t>
  </si>
  <si>
    <t>DESIGNSPECIALIST</t>
  </si>
  <si>
    <t>Søjlediagram, der viser planlagte i forhold til faktiske timer, er i denne celle.</t>
  </si>
  <si>
    <t>PERSONALE VED BEGIVENHED</t>
  </si>
  <si>
    <t>ADMINISTRATIONSMEDARBEJDERE</t>
  </si>
  <si>
    <t>Angiv oplysninger i tabellen Projektoplysninger, der starter i cellen til højre.
INFO
Hvis du vil tilføje en række i en tabel, skal du markere cellen nederst til højre i tabellens brødtekst (ikke rækken med totaler) og trykke på Tab, eller du kan trykke på Skift+F10 der, hvor rækken skal indsættes, og vælge Indsæt | Tabelrækker ovenfor/nedenfor.
Sørg for, at alle ubrugte rækker slettes, da pivottabellen PROJEKTTOTALER bruger alle tabelcellerne, og det vil i modsat fald kunne give forkerte resultater.</t>
  </si>
  <si>
    <t>PROJEKTNAVN</t>
  </si>
  <si>
    <t>Projekt 1</t>
  </si>
  <si>
    <t>Projekt 2</t>
  </si>
  <si>
    <t>Projekt 3</t>
  </si>
  <si>
    <t>Projekt 4</t>
  </si>
  <si>
    <t>Projekt 5</t>
  </si>
  <si>
    <t>ANSLÅET START</t>
  </si>
  <si>
    <t>ANSLÅET AFSLUTNING</t>
  </si>
  <si>
    <t>FAKTISK START</t>
  </si>
  <si>
    <t>FAKTISK AFSLUTNING</t>
  </si>
  <si>
    <t>ANSLÅET ARBEJDE</t>
  </si>
  <si>
    <t>FAKTISK ARBEJDE</t>
  </si>
  <si>
    <t>ANSLÅET VARIGHED</t>
  </si>
  <si>
    <t>FAKTISK VARIGHED</t>
  </si>
  <si>
    <t xml:space="preserve">KONTOADMINISTRATOR </t>
  </si>
  <si>
    <t xml:space="preserve">PROJEKTLEDER </t>
  </si>
  <si>
    <t xml:space="preserve">STRATEGILEDER </t>
  </si>
  <si>
    <t xml:space="preserve">DESIGNSPECIALIST </t>
  </si>
  <si>
    <t xml:space="preserve">PERSONALE VED BEGIVENHED </t>
  </si>
  <si>
    <t xml:space="preserve">ADMINISTRATIONSMEDARBEJDERE </t>
  </si>
  <si>
    <t>Få Projekttotaler i dette regneark. Firmanavnet opdateres automatisk i cellen til højre. Der vises nyttig vejledning i cellerne i denne kolonne. Pil ned for at starte.</t>
  </si>
  <si>
    <t>Pivottabellen, der begynder i cellen til højre, opdateres automatisk.
INFO
Hvis du vil opdatere pivottabellen til højre, skal du markere den (en vilkårlig celle i pivottabellen), og på båndfanen PIVOTTABELVÆRKTØJER | ANALYSÉR skal du vælge Opdater, eller du kan trykke på Skift+F10 i en vilkårlig celle i pivottabellen og derefter vælge Opdater.</t>
  </si>
  <si>
    <t>Hovedtotal</t>
  </si>
  <si>
    <t>ANSLÅET KONTOADMINISTRATOR</t>
  </si>
  <si>
    <t>ANSLÅET PROJEKTLEDER</t>
  </si>
  <si>
    <t>ANSLÅET STRATEGILEDER</t>
  </si>
  <si>
    <t>ANSLÅET DESIGNSPECIALIST</t>
  </si>
  <si>
    <t>ANSLÅET PERSONALE VED BEGIVENHED</t>
  </si>
  <si>
    <t>ANSLÅET ADMINISTRATIONSMEDARBEJDERE</t>
  </si>
  <si>
    <t>FAKTISK KONTOADMINISTRATOR</t>
  </si>
  <si>
    <t>FAKTISK PROJEKTLEDER</t>
  </si>
  <si>
    <t>FAKTISK STRATEGILEDER</t>
  </si>
  <si>
    <t>FAKTISK DESIGNSPECIALIST</t>
  </si>
  <si>
    <t>FAKTISK ADMINISTRATIONSMEDARBEJDERE</t>
  </si>
  <si>
    <t>Total</t>
  </si>
  <si>
    <t>FAKTISK PERSONALE VED BEGIVENHED</t>
  </si>
  <si>
    <t>Opret Projektoplysninger i dette regneark. Firmanavn opdateres automatisk i cellen til højre. Der vises nyttig vejledning i cellerne i denne kolonne. Pil ned for at starte.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</si>
</sst>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&quot;Kč&quot;\ #,##0"/>
    <numFmt numFmtId="169" formatCode="&quot;kr.&quot;\ #,##0"/>
    <numFmt numFmtId="170" formatCode="&quot;kr.&quot;\ #,##0.00"/>
  </numFmts>
  <fonts count="27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color theme="1"/>
      <name val="Cambria"/>
      <family val="1"/>
      <scheme val="minor"/>
    </font>
    <font>
      <i/>
      <sz val="10"/>
      <color theme="1"/>
      <name val="Tahoma"/>
      <family val="2"/>
      <scheme val="major"/>
    </font>
    <font>
      <sz val="11"/>
      <color theme="0"/>
      <name val="Cambria"/>
      <family val="1"/>
      <scheme val="minor"/>
    </font>
    <font>
      <sz val="16"/>
      <color theme="0"/>
      <name val="Tahom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0"/>
      <color theme="1" tint="0.24994659260841701"/>
      <name val="Cambri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12" fillId="1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1"/>
    <xf numFmtId="0" fontId="4" fillId="0" borderId="0" xfId="2"/>
    <xf numFmtId="0" fontId="5" fillId="0" borderId="0" xfId="3"/>
    <xf numFmtId="0" fontId="6" fillId="0" borderId="0" xfId="0" applyFont="1"/>
    <xf numFmtId="9" fontId="6" fillId="0" borderId="0" xfId="0" applyNumberFormat="1" applyFont="1"/>
    <xf numFmtId="9" fontId="6" fillId="2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0" fillId="3" borderId="0" xfId="0" applyFill="1" applyAlignment="1">
      <alignment wrapText="1"/>
    </xf>
    <xf numFmtId="14" fontId="0" fillId="0" borderId="0" xfId="0" applyNumberFormat="1"/>
    <xf numFmtId="0" fontId="2" fillId="0" borderId="0" xfId="0" applyFont="1" applyAlignment="1">
      <alignment vertical="center"/>
    </xf>
    <xf numFmtId="0" fontId="5" fillId="0" borderId="0" xfId="3" applyAlignment="1">
      <alignment vertical="center"/>
    </xf>
    <xf numFmtId="0" fontId="9" fillId="4" borderId="0" xfId="2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pivotButton="1"/>
    <xf numFmtId="169" fontId="0" fillId="0" borderId="0" xfId="0" applyNumberFormat="1"/>
    <xf numFmtId="170" fontId="0" fillId="0" borderId="0" xfId="0" applyNumberFormat="1"/>
    <xf numFmtId="169" fontId="6" fillId="0" borderId="0" xfId="0" applyNumberFormat="1" applyFont="1"/>
    <xf numFmtId="170" fontId="8" fillId="0" borderId="0" xfId="0" applyNumberFormat="1" applyFont="1"/>
    <xf numFmtId="0" fontId="8" fillId="0" borderId="0" xfId="0" applyFont="1" applyAlignment="1">
      <alignment horizontal="center"/>
    </xf>
  </cellXfs>
  <cellStyles count="47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19" builtinId="11" customBuiltin="1"/>
    <cellStyle name="Bemærk!" xfId="20" builtinId="10" customBuiltin="1"/>
    <cellStyle name="Beregning" xfId="16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21" builtinId="53" customBuiltin="1"/>
    <cellStyle name="God" xfId="11" builtinId="26" customBuiltin="1"/>
    <cellStyle name="Input" xfId="14" builtinId="20" customBuiltin="1"/>
    <cellStyle name="Komma" xfId="4" builtinId="3" customBuiltin="1"/>
    <cellStyle name="Komma [0]" xfId="5" builtinId="6" customBuiltin="1"/>
    <cellStyle name="Kontrollér celle" xfId="18" builtinId="23" customBuiltin="1"/>
    <cellStyle name="Neutral" xfId="13" builtinId="28" customBuiltin="1"/>
    <cellStyle name="Normal" xfId="0" builtinId="0" customBuiltin="1"/>
    <cellStyle name="Output" xfId="15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10" builtinId="19" customBuiltin="1"/>
    <cellStyle name="Procent" xfId="8" builtinId="5" customBuiltin="1"/>
    <cellStyle name="Sammenkædet celle" xfId="17" builtinId="24" customBuiltin="1"/>
    <cellStyle name="Titel" xfId="9" builtinId="15" customBuiltin="1"/>
    <cellStyle name="Total" xfId="22" builtinId="25" customBuiltin="1"/>
    <cellStyle name="Ugyldig" xfId="12" builtinId="27" customBuiltin="1"/>
    <cellStyle name="Valuta" xfId="6" builtinId="4" customBuiltin="1"/>
    <cellStyle name="Valuta [0]" xfId="7" builtinId="7" customBuiltin="1"/>
  </cellStyles>
  <dxfs count="157"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alignment wrapText="1"/>
    </dxf>
    <dxf>
      <alignment wrapText="1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0" formatCode="&quot;kr.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numFmt numFmtId="171" formatCode="&quot;Kč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9" formatCode="&quot;kr.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PLANLAGTE kontra FAKTISKE OMKOSTNINGER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PROJEKTPARAMETRE!$B$16</c:f>
              <c:strCache>
                <c:ptCount val="1"/>
                <c:pt idx="0">
                  <c:v>PLANLAGTE OMKOSTNINGER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PROJEKTPARAMETRE!$C$15:$H$15</c:f>
              <c:strCache>
                <c:ptCount val="6"/>
                <c:pt idx="0">
                  <c:v>KONTOADMINISTRATOR</c:v>
                </c:pt>
                <c:pt idx="1">
                  <c:v>PROJEKTLEDER</c:v>
                </c:pt>
                <c:pt idx="2">
                  <c:v>STRATEGILEDER</c:v>
                </c:pt>
                <c:pt idx="3">
                  <c:v>DESIGNSPECIALIST</c:v>
                </c:pt>
                <c:pt idx="4">
                  <c:v>PERSONALE VED BEGIVENHED</c:v>
                </c:pt>
                <c:pt idx="5">
                  <c:v>ADMINISTRATIONSMEDARBEJDERE</c:v>
                </c:pt>
              </c:strCache>
            </c:strRef>
          </c:cat>
          <c:val>
            <c:numRef>
              <c:f>PROJEKTPARAMETRE!$C$16:$H$16</c:f>
              <c:numCache>
                <c:formatCode>"kr."\ #,##0.00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PROJEKTPARAMETRE!$B$17</c:f>
              <c:strCache>
                <c:ptCount val="1"/>
                <c:pt idx="0">
                  <c:v>FAKTISKE OMKOSTNINGER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PROJEKTPARAMETRE!$C$15:$H$15</c:f>
              <c:strCache>
                <c:ptCount val="6"/>
                <c:pt idx="0">
                  <c:v>KONTOADMINISTRATOR</c:v>
                </c:pt>
                <c:pt idx="1">
                  <c:v>PROJEKTLEDER</c:v>
                </c:pt>
                <c:pt idx="2">
                  <c:v>STRATEGILEDER</c:v>
                </c:pt>
                <c:pt idx="3">
                  <c:v>DESIGNSPECIALIST</c:v>
                </c:pt>
                <c:pt idx="4">
                  <c:v>PERSONALE VED BEGIVENHED</c:v>
                </c:pt>
                <c:pt idx="5">
                  <c:v>ADMINISTRATIONSMEDARBEJDERE</c:v>
                </c:pt>
              </c:strCache>
            </c:strRef>
          </c:cat>
          <c:val>
            <c:numRef>
              <c:f>PROJEKTPARAMETRE!$C$17:$H$17</c:f>
              <c:numCache>
                <c:formatCode>"kr."\ #,##0.00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kr.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PLANLAGTE kontra FAKTISKE TIMER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PROJEKTPARAMETRE!$B$18</c:f>
              <c:strCache>
                <c:ptCount val="1"/>
                <c:pt idx="0">
                  <c:v>PLANLAGTE TIMER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PROJEKTPARAMETRE!$C$15:$H$15</c:f>
              <c:strCache>
                <c:ptCount val="6"/>
                <c:pt idx="0">
                  <c:v>KONTOADMINISTRATOR</c:v>
                </c:pt>
                <c:pt idx="1">
                  <c:v>PROJEKTLEDER</c:v>
                </c:pt>
                <c:pt idx="2">
                  <c:v>STRATEGILEDER</c:v>
                </c:pt>
                <c:pt idx="3">
                  <c:v>DESIGNSPECIALIST</c:v>
                </c:pt>
                <c:pt idx="4">
                  <c:v>PERSONALE VED BEGIVENHED</c:v>
                </c:pt>
                <c:pt idx="5">
                  <c:v>ADMINISTRATIONSMEDARBEJDERE</c:v>
                </c:pt>
              </c:strCache>
            </c:strRef>
          </c:cat>
          <c:val>
            <c:numRef>
              <c:f>PROJEKTPARAMETRE!$C$18:$H$18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PROJEKTPARAMETRE!$B$19</c:f>
              <c:strCache>
                <c:ptCount val="1"/>
                <c:pt idx="0">
                  <c:v>FAKTISKE TIMER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PROJEKTPARAMETRE!$C$15:$H$15</c:f>
              <c:strCache>
                <c:ptCount val="6"/>
                <c:pt idx="0">
                  <c:v>KONTOADMINISTRATOR</c:v>
                </c:pt>
                <c:pt idx="1">
                  <c:v>PROJEKTLEDER</c:v>
                </c:pt>
                <c:pt idx="2">
                  <c:v>STRATEGILEDER</c:v>
                </c:pt>
                <c:pt idx="3">
                  <c:v>DESIGNSPECIALIST</c:v>
                </c:pt>
                <c:pt idx="4">
                  <c:v>PERSONALE VED BEGIVENHED</c:v>
                </c:pt>
                <c:pt idx="5">
                  <c:v>ADMINISTRATIONSMEDARBEJDERE</c:v>
                </c:pt>
              </c:strCache>
            </c:strRef>
          </c:cat>
          <c:val>
            <c:numRef>
              <c:f>PROJEKTPARAMETRE!$C$19:$H$19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180974</xdr:rowOff>
    </xdr:from>
    <xdr:to>
      <xdr:col>4</xdr:col>
      <xdr:colOff>725475</xdr:colOff>
      <xdr:row>42</xdr:row>
      <xdr:rowOff>76200</xdr:rowOff>
    </xdr:to>
    <xdr:graphicFrame macro="">
      <xdr:nvGraphicFramePr>
        <xdr:cNvPr id="7" name="Diagram 6" descr="Søjlediagram, der viser planlagte i forhold til faktiske omkostning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933449</xdr:colOff>
      <xdr:row>12</xdr:row>
      <xdr:rowOff>180974</xdr:rowOff>
    </xdr:from>
    <xdr:to>
      <xdr:col>8</xdr:col>
      <xdr:colOff>476250</xdr:colOff>
      <xdr:row>42</xdr:row>
      <xdr:rowOff>76200</xdr:rowOff>
    </xdr:to>
    <xdr:graphicFrame macro="">
      <xdr:nvGraphicFramePr>
        <xdr:cNvPr id="8" name="Diagram 7" descr="Søjlediagram, der viser planlagte i forhold til faktiske ti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2</xdr:row>
      <xdr:rowOff>371474</xdr:rowOff>
    </xdr:from>
    <xdr:to>
      <xdr:col>28</xdr:col>
      <xdr:colOff>590550</xdr:colOff>
      <xdr:row>19</xdr:row>
      <xdr:rowOff>95249</xdr:rowOff>
    </xdr:to>
    <xdr:sp macro="" textlink="">
      <xdr:nvSpPr>
        <xdr:cNvPr id="2" name="Rektangel 1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458450" y="1066799"/>
          <a:ext cx="3028950" cy="3133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da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da" sz="1100">
              <a:solidFill>
                <a:schemeClr val="tx1">
                  <a:lumMod val="65000"/>
                  <a:lumOff val="35000"/>
                </a:schemeClr>
              </a:solidFill>
            </a:rPr>
            <a:t>Hvis du vil tilføje en række, skal du markere</a:t>
          </a:r>
          <a:r>
            <a:rPr lang="da" sz="1100" baseline="0">
              <a:solidFill>
                <a:schemeClr val="tx1">
                  <a:lumMod val="65000"/>
                  <a:lumOff val="35000"/>
                </a:schemeClr>
              </a:solidFill>
            </a:rPr>
            <a:t> cellen nederst til højre i tabellens brødtekst (ikke rækken med totaler) og trykke på Tab, eller du kan højreklikke der, hvor rækken skal indsættes, og vælge Indsæt | Tabelrækker ovenfor/nedenfor.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da" sz="1100" baseline="0">
              <a:solidFill>
                <a:schemeClr val="tx1">
                  <a:lumMod val="65000"/>
                  <a:lumOff val="35000"/>
                </a:schemeClr>
              </a:solidFill>
            </a:rPr>
            <a:t>Sørg for, at alle ubrugte rækker slettes, da pivottabellen PROJEKTTOTALER bruger alle tabelcellerne, og det vil i modsat fald kunne give forkerte resultater.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da" sz="1100" baseline="0">
              <a:solidFill>
                <a:schemeClr val="tx1">
                  <a:lumMod val="65000"/>
                  <a:lumOff val="35000"/>
                </a:schemeClr>
              </a:solidFill>
            </a:rPr>
            <a:t>Hvis du vil slette dette tip med oplysninger, skal du markere en vilkårlig kant og trykke på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19</xdr:col>
      <xdr:colOff>590550</xdr:colOff>
      <xdr:row>14</xdr:row>
      <xdr:rowOff>114300</xdr:rowOff>
    </xdr:to>
    <xdr:sp macro="" textlink="">
      <xdr:nvSpPr>
        <xdr:cNvPr id="2" name="Rektangel 1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53875" y="1066800"/>
          <a:ext cx="3028950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da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da" sz="1100">
              <a:solidFill>
                <a:schemeClr val="tx1">
                  <a:lumMod val="65000"/>
                  <a:lumOff val="35000"/>
                </a:schemeClr>
              </a:solidFill>
            </a:rPr>
            <a:t>Denne pivottabel opdateres ikke automatisk.  Hvis du vil opdatere den, skal du markere</a:t>
          </a:r>
          <a:r>
            <a:rPr lang="da" sz="1100" baseline="0">
              <a:solidFill>
                <a:schemeClr val="tx1">
                  <a:lumMod val="65000"/>
                  <a:lumOff val="35000"/>
                </a:schemeClr>
              </a:solidFill>
            </a:rPr>
            <a:t> den (en vilkårlig celle i pivottabellen) og trykke på Opdater på båndfanen PIVOTTABELVÆRKTØJER | ANALYSÉR.  Eller du kan højreklikke på en vilkårlig celle i pivottabellen og vælge Opdater.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da" sz="1100" baseline="0">
              <a:solidFill>
                <a:schemeClr val="tx1">
                  <a:lumMod val="65000"/>
                  <a:lumOff val="35000"/>
                </a:schemeClr>
              </a:solidFill>
            </a:rPr>
            <a:t>Hvis du vil slette dette tip med oplysninger, skal du markere en vilkårlig kant og trykke på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6.681510648152" createdVersion="5" refreshedVersion="6" minRefreshableVersion="3" recordCount="5" xr:uid="{00000000-000A-0000-FFFF-FFFF00000000}">
  <cacheSource type="worksheet">
    <worksheetSource name="ProjektOplysninger"/>
  </cacheSource>
  <cacheFields count="22">
    <cacheField name="PROJEKTNAVN" numFmtId="0">
      <sharedItems count="5">
        <s v="Projekt 1"/>
        <s v="Projekt 2"/>
        <s v="Projekt 3"/>
        <s v="Projekt 4"/>
        <s v="Projekt 5"/>
      </sharedItems>
    </cacheField>
    <cacheField name="PROJEKTTYPE" numFmtId="0">
      <sharedItems/>
    </cacheField>
    <cacheField name="ANSLÅET START" numFmtId="14">
      <sharedItems containsSemiMixedTypes="0" containsNonDate="0" containsDate="1" containsString="0" minDate="2019-06-09T00:00:00" maxDate="2023-08-12T00:00:00"/>
    </cacheField>
    <cacheField name="ANSLÅET AFSLUTNING" numFmtId="14">
      <sharedItems containsSemiMixedTypes="0" containsNonDate="0" containsDate="1" containsString="0" minDate="2019-08-07T00:00:00" maxDate="2023-08-22T00:00:00"/>
    </cacheField>
    <cacheField name="FAKTISK START" numFmtId="14">
      <sharedItems containsSemiMixedTypes="0" containsNonDate="0" containsDate="1" containsString="0" minDate="2019-06-29T00:00:00" maxDate="2025-08-08T00:00:00"/>
    </cacheField>
    <cacheField name="FAKTISK AFSLUTNING" numFmtId="14">
      <sharedItems containsSemiMixedTypes="0" containsNonDate="0" containsDate="1" containsString="0" minDate="2019-09-03T00:00:00" maxDate="2025-10-11T00:00:00"/>
    </cacheField>
    <cacheField name="ANSLÅET ARBEJDE" numFmtId="0">
      <sharedItems containsSemiMixedTypes="0" containsString="0" containsNumber="1" containsInteger="1" minValue="150" maxValue="500"/>
    </cacheField>
    <cacheField name="FAKTISK ARBEJDE" numFmtId="0">
      <sharedItems containsSemiMixedTypes="0" containsString="0" containsNumber="1" containsInteger="1" minValue="145" maxValue="500"/>
    </cacheField>
    <cacheField name="ANSLÅET VARIGHED" numFmtId="0">
      <sharedItems containsSemiMixedTypes="0" containsString="0" containsNumber="1" containsInteger="1" minValue="10" maxValue="67"/>
    </cacheField>
    <cacheField name="FAKTISK VARIGHED" numFmtId="0">
      <sharedItems containsSemiMixedTypes="0" containsString="0" containsNumber="1" containsInteger="1" minValue="11" maxValue="400"/>
    </cacheField>
    <cacheField name="KONTOADMINISTRATOR" numFmtId="169">
      <sharedItems containsSemiMixedTypes="0" containsString="0" containsNumber="1" containsInteger="1" minValue="5400" maxValue="18000"/>
    </cacheField>
    <cacheField name="PROJEKTLEDER" numFmtId="169">
      <sharedItems containsSemiMixedTypes="0" containsString="0" containsNumber="1" containsInteger="1" minValue="2400" maxValue="24000"/>
    </cacheField>
    <cacheField name="STRATEGILEDER" numFmtId="169">
      <sharedItems containsSemiMixedTypes="0" containsString="0" containsNumber="1" containsInteger="1" minValue="0" maxValue="18000"/>
    </cacheField>
    <cacheField name="DESIGNSPECIALIST" numFmtId="169">
      <sharedItems containsSemiMixedTypes="0" containsString="0" containsNumber="1" containsInteger="1" minValue="0" maxValue="25000"/>
    </cacheField>
    <cacheField name="PERSONALE VED BEGIVENHED" numFmtId="169">
      <sharedItems containsSemiMixedTypes="0" containsString="0" containsNumber="1" containsInteger="1" minValue="0" maxValue="12000"/>
    </cacheField>
    <cacheField name="ADMINISTRATIONSMEDARBEJDERE" numFmtId="169">
      <sharedItems containsSemiMixedTypes="0" containsString="0" containsNumber="1" containsInteger="1" minValue="900" maxValue="3000"/>
    </cacheField>
    <cacheField name="KONTOADMINISTRATOR " numFmtId="169">
      <sharedItems containsSemiMixedTypes="0" containsString="0" containsNumber="1" containsInteger="1" minValue="5220" maxValue="18000"/>
    </cacheField>
    <cacheField name="PROJEKTLEDER " numFmtId="169">
      <sharedItems containsSemiMixedTypes="0" containsString="0" containsNumber="1" containsInteger="1" minValue="2640" maxValue="23400"/>
    </cacheField>
    <cacheField name="STRATEGILEDER " numFmtId="169">
      <sharedItems containsSemiMixedTypes="0" containsString="0" containsNumber="1" containsInteger="1" minValue="0" maxValue="19800"/>
    </cacheField>
    <cacheField name="DESIGNSPECIALIST " numFmtId="169">
      <sharedItems containsSemiMixedTypes="0" containsString="0" containsNumber="1" containsInteger="1" minValue="0" maxValue="25000"/>
    </cacheField>
    <cacheField name="PERSONALE VED BEGIVENHED " numFmtId="169">
      <sharedItems containsSemiMixedTypes="0" containsString="0" containsNumber="1" containsInteger="1" minValue="0" maxValue="12240"/>
    </cacheField>
    <cacheField name="ADMINISTRATIONSMEDARBEJDERE " numFmtId="169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Udvikling af begivenhedsstrategi"/>
    <d v="2019-06-09T00:00:00"/>
    <d v="2019-08-07T00:00:00"/>
    <d v="2019-06-29T00:00:00"/>
    <d v="2019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Begivenhedsplanlægning"/>
    <d v="2020-06-25T00:00:00"/>
    <d v="2020-07-27T00:00:00"/>
    <d v="2019-07-15T00:00:00"/>
    <d v="2020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Begivenhedsdesign"/>
    <d v="2021-07-12T00:00:00"/>
    <d v="2021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Logistik for begivenhed"/>
    <d v="2022-07-30T00:00:00"/>
    <d v="2022-09-28T00:00:00"/>
    <d v="2022-09-14T00:00:00"/>
    <d v="2022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Personale ved begivenhed"/>
    <d v="2023-08-11T00:00:00"/>
    <d v="2023-08-21T00:00:00"/>
    <d v="2023-09-14T00:00:00"/>
    <d v="2023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otaler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ANSLÅET KONTOADMINISTRATOR" fld="10" baseField="0" baseItem="0" numFmtId="170"/>
    <dataField name="ANSLÅET PROJEKTLEDER" fld="11" baseField="0" baseItem="0" numFmtId="170"/>
    <dataField name="ANSLÅET STRATEGILEDER" fld="12" baseField="0" baseItem="0" numFmtId="170"/>
    <dataField name="ANSLÅET DESIGNSPECIALIST" fld="13" baseField="0" baseItem="0" numFmtId="170"/>
    <dataField name="ANSLÅET PERSONALE VED BEGIVENHED" fld="14" baseField="0" baseItem="0" numFmtId="170"/>
    <dataField name="ANSLÅET ADMINISTRATIONSMEDARBEJDERE" fld="15" baseField="0" baseItem="0" numFmtId="170"/>
    <dataField name="FAKTISK KONTOADMINISTRATOR" fld="16" baseField="0" baseItem="0" numFmtId="170"/>
    <dataField name="FAKTISK PROJEKTLEDER" fld="17" baseField="0" baseItem="0" numFmtId="170"/>
    <dataField name="FAKTISK STRATEGILEDER" fld="18" baseField="0" baseItem="0" numFmtId="170"/>
    <dataField name="FAKTISK DESIGNSPECIALIST" fld="19" baseField="0" baseItem="0" numFmtId="170"/>
    <dataField name="FAKTISK PERSONALE VED BEGIVENHED" fld="20" baseField="0" baseItem="0" numFmtId="170"/>
    <dataField name="FAKTISK ADMINISTRATIONSMEDARBEJDERE" fld="21" baseField="0" baseItem="0" numFmtId="170"/>
  </dataFields>
  <formats count="49">
    <format dxfId="97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96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95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94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93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92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91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90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89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88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87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86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85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84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83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82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81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80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79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78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77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76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75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74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73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72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71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70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69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68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67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66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65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64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63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62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61">
      <pivotArea outline="0" fieldPosition="0">
        <references count="1">
          <reference field="4294967294" count="1">
            <x v="0"/>
          </reference>
        </references>
      </pivotArea>
    </format>
    <format dxfId="60">
      <pivotArea outline="0" fieldPosition="0">
        <references count="1">
          <reference field="4294967294" count="1">
            <x v="1"/>
          </reference>
        </references>
      </pivotArea>
    </format>
    <format dxfId="59">
      <pivotArea outline="0" fieldPosition="0">
        <references count="1">
          <reference field="4294967294" count="1">
            <x v="2"/>
          </reference>
        </references>
      </pivotArea>
    </format>
    <format dxfId="58">
      <pivotArea outline="0" fieldPosition="0">
        <references count="1">
          <reference field="4294967294" count="1">
            <x v="3"/>
          </reference>
        </references>
      </pivotArea>
    </format>
    <format dxfId="57">
      <pivotArea outline="0" fieldPosition="0">
        <references count="1">
          <reference field="4294967294" count="1">
            <x v="4"/>
          </reference>
        </references>
      </pivotArea>
    </format>
    <format dxfId="56">
      <pivotArea outline="0" fieldPosition="0">
        <references count="1">
          <reference field="4294967294" count="1">
            <x v="5"/>
          </reference>
        </references>
      </pivotArea>
    </format>
    <format dxfId="55">
      <pivotArea outline="0" fieldPosition="0">
        <references count="1">
          <reference field="4294967294" count="1">
            <x v="6"/>
          </reference>
        </references>
      </pivotArea>
    </format>
    <format dxfId="54">
      <pivotArea outline="0" fieldPosition="0">
        <references count="1">
          <reference field="4294967294" count="1">
            <x v="7"/>
          </reference>
        </references>
      </pivotArea>
    </format>
    <format dxfId="53">
      <pivotArea outline="0" fieldPosition="0">
        <references count="1">
          <reference field="4294967294" count="1">
            <x v="8"/>
          </reference>
        </references>
      </pivotArea>
    </format>
    <format dxfId="52">
      <pivotArea outline="0" fieldPosition="0">
        <references count="1">
          <reference field="4294967294" count="1">
            <x v="9"/>
          </reference>
        </references>
      </pivotArea>
    </format>
    <format dxfId="51">
      <pivotArea outline="0" fieldPosition="0">
        <references count="1">
          <reference field="4294967294" count="1">
            <x v="10"/>
          </reference>
        </references>
      </pivotArea>
    </format>
    <format dxfId="50">
      <pivotArea outline="0" fieldPosition="0">
        <references count="1">
          <reference field="4294967294" count="1">
            <x v="11"/>
          </reference>
        </references>
      </pivotArea>
    </format>
    <format dxfId="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Denne Pivottabel viser projektnavne og beregnede værdier for alle elementer i regnearket PROJEKTPARAMETRE og beregnes ved at multiplicere timevarigheden i arket PROJEKTOPLYSNINGER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ametre" displayName="Parametre" ref="B5:I11" headerRowDxfId="156" dataDxfId="155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JEKTTYPE" totalsRowLabel="Total" dataDxfId="154" totalsRowDxfId="153"/>
    <tableColumn id="2" xr3:uid="{00000000-0010-0000-0000-000002000000}" name="KONTOADMINISTRATOR" dataDxfId="152" totalsRowDxfId="151"/>
    <tableColumn id="3" xr3:uid="{00000000-0010-0000-0000-000003000000}" name="PROJEKTLEDER" dataDxfId="150" totalsRowDxfId="149"/>
    <tableColumn id="4" xr3:uid="{00000000-0010-0000-0000-000004000000}" name="STRATEGILEDER" dataDxfId="148" totalsRowDxfId="147"/>
    <tableColumn id="5" xr3:uid="{00000000-0010-0000-0000-000005000000}" name="DESIGNSPECIALIST" dataDxfId="146" totalsRowDxfId="145"/>
    <tableColumn id="6" xr3:uid="{00000000-0010-0000-0000-000006000000}" name="PERSONALE VED BEGIVENHED" dataDxfId="144" totalsRowDxfId="143"/>
    <tableColumn id="7" xr3:uid="{00000000-0010-0000-0000-000007000000}" name="ADMINISTRATIONSMEDARBEJDERE" dataDxfId="142" totalsRowDxfId="141"/>
    <tableColumn id="8" xr3:uid="{00000000-0010-0000-0000-000008000000}" name="Total" totalsRowFunction="sum" dataDxfId="140" totalsRowDxfId="139">
      <calculatedColumnFormula>SUM(Parametre[[#This Row],[KONTOADMINISTRATOR]:[ADMINISTRATIONSMEDARBEJDERE]])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Angiv projekttype, procentdele for kontoadministrator, projektleder, strategisk leder, designspecialist, begivenhedspersonale og administrationspersonale. Samlet beløb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ktOplysninger" displayName="ProjektOplysninger" ref="B4:W10" totalsRowCount="1" headerRowDxfId="138" dataCellStyle="Normal">
  <tableColumns count="22">
    <tableColumn id="1" xr3:uid="{00000000-0010-0000-0100-000001000000}" name="PROJEKTNAVN" totalsRowLabel="Total" totalsRowDxfId="137" dataCellStyle="Normal"/>
    <tableColumn id="2" xr3:uid="{00000000-0010-0000-0100-000002000000}" name="PROJEKTTYPE" totalsRowDxfId="136" dataCellStyle="Normal"/>
    <tableColumn id="3" xr3:uid="{00000000-0010-0000-0100-000003000000}" name="ANSLÅET START" dataDxfId="135" totalsRowDxfId="134" dataCellStyle="Normal"/>
    <tableColumn id="4" xr3:uid="{00000000-0010-0000-0100-000004000000}" name="ANSLÅET AFSLUTNING" dataDxfId="133" totalsRowDxfId="132" dataCellStyle="Normal"/>
    <tableColumn id="7" xr3:uid="{00000000-0010-0000-0100-000007000000}" name="FAKTISK START" dataDxfId="131" totalsRowDxfId="130" dataCellStyle="Normal"/>
    <tableColumn id="8" xr3:uid="{00000000-0010-0000-0100-000008000000}" name="FAKTISK AFSLUTNING" dataDxfId="129" totalsRowDxfId="128" dataCellStyle="Normal"/>
    <tableColumn id="5" xr3:uid="{00000000-0010-0000-0100-000005000000}" name="ANSLÅET ARBEJDE" totalsRowFunction="sum" totalsRowDxfId="127" dataCellStyle="Normal"/>
    <tableColumn id="9" xr3:uid="{00000000-0010-0000-0100-000009000000}" name="FAKTISK ARBEJDE" totalsRowFunction="sum" totalsRowDxfId="126" dataCellStyle="Normal"/>
    <tableColumn id="6" xr3:uid="{00000000-0010-0000-0100-000006000000}" name="ANSLÅET VARIGHED" totalsRowFunction="sum" dataDxfId="125" totalsRowDxfId="124" dataCellStyle="Normal">
      <calculatedColumnFormula>DAYS360(ProjektOplysninger[[#This Row],[ANSLÅET START]],ProjektOplysninger[[#This Row],[ANSLÅET AFSLUTNING]],FALSE)</calculatedColumnFormula>
    </tableColumn>
    <tableColumn id="10" xr3:uid="{00000000-0010-0000-0100-00000A000000}" name="FAKTISK VARIGHED" totalsRowFunction="sum" dataDxfId="123" totalsRowDxfId="122" dataCellStyle="Normal">
      <calculatedColumnFormula>DAYS360(ProjektOplysninger[[#This Row],[FAKTISK START]],ProjektOplysninger[[#This Row],[FAKTISK AFSLUTNING]],FALSE)</calculatedColumnFormula>
    </tableColumn>
    <tableColumn id="11" xr3:uid="{00000000-0010-0000-0100-00000B000000}" name="KONTOADMINISTRATOR" dataDxfId="121" totalsRowDxfId="120" dataCellStyle="Normal">
      <calculatedColumnFormula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Row],[ANSLÅET ARBEJDE]]</calculatedColumnFormula>
    </tableColumn>
    <tableColumn id="12" xr3:uid="{00000000-0010-0000-0100-00000C000000}" name="PROJEKTLEDER" dataDxfId="119" totalsRowDxfId="118" dataCellStyle="Normal">
      <calculatedColumnFormula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Row],[ANSLÅET ARBEJDE]]</calculatedColumnFormula>
    </tableColumn>
    <tableColumn id="13" xr3:uid="{00000000-0010-0000-0100-00000D000000}" name="STRATEGILEDER" dataDxfId="117" totalsRowDxfId="116" dataCellStyle="Normal">
      <calculatedColumnFormula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Row],[ANSLÅET ARBEJDE]]</calculatedColumnFormula>
    </tableColumn>
    <tableColumn id="14" xr3:uid="{00000000-0010-0000-0100-00000E000000}" name="DESIGNSPECIALIST" dataDxfId="115" totalsRowDxfId="114" dataCellStyle="Normal">
      <calculatedColumnFormula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Row],[ANSLÅET ARBEJDE]]</calculatedColumnFormula>
    </tableColumn>
    <tableColumn id="15" xr3:uid="{00000000-0010-0000-0100-00000F000000}" name="PERSONALE VED BEGIVENHED" dataDxfId="113" totalsRowDxfId="112" dataCellStyle="Normal">
      <calculatedColumnFormula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Row],[ANSLÅET ARBEJDE]]</calculatedColumnFormula>
    </tableColumn>
    <tableColumn id="16" xr3:uid="{00000000-0010-0000-0100-000010000000}" name="ADMINISTRATIONSMEDARBEJDERE" dataDxfId="111" totalsRowDxfId="110" dataCellStyle="Normal">
      <calculatedColumnFormula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Row],[ANSLÅET ARBEJDE]]</calculatedColumnFormula>
    </tableColumn>
    <tableColumn id="17" xr3:uid="{00000000-0010-0000-0100-000011000000}" name="KONTOADMINISTRATOR " dataDxfId="109" totalsRowDxfId="108" dataCellStyle="Normal">
      <calculatedColumnFormula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Row],[FAKTISK ARBEJDE]]</calculatedColumnFormula>
    </tableColumn>
    <tableColumn id="18" xr3:uid="{00000000-0010-0000-0100-000012000000}" name="PROJEKTLEDER " dataDxfId="107" totalsRowDxfId="106" dataCellStyle="Normal">
      <calculatedColumnFormula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Row],[FAKTISK ARBEJDE]]</calculatedColumnFormula>
    </tableColumn>
    <tableColumn id="19" xr3:uid="{00000000-0010-0000-0100-000013000000}" name="STRATEGILEDER " dataDxfId="105" totalsRowDxfId="104" dataCellStyle="Normal">
      <calculatedColumnFormula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Row],[FAKTISK ARBEJDE]]</calculatedColumnFormula>
    </tableColumn>
    <tableColumn id="20" xr3:uid="{00000000-0010-0000-0100-000014000000}" name="DESIGNSPECIALIST " dataDxfId="103" totalsRowDxfId="102" dataCellStyle="Normal">
      <calculatedColumnFormula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Row],[FAKTISK ARBEJDE]]</calculatedColumnFormula>
    </tableColumn>
    <tableColumn id="21" xr3:uid="{00000000-0010-0000-0100-000015000000}" name="PERSONALE VED BEGIVENHED " dataDxfId="101" totalsRowDxfId="100" dataCellStyle="Normal">
      <calculatedColumnFormula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Row],[FAKTISK ARBEJDE]]</calculatedColumnFormula>
    </tableColumn>
    <tableColumn id="22" xr3:uid="{00000000-0010-0000-0100-000016000000}" name="ADMINISTRATIONSMEDARBEJDERE " dataDxfId="99" totalsRowDxfId="98" dataCellStyle="Normal">
      <calculatedColumnFormula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Row],[FAKTISK ARBEJDE]]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giv projektnavn, anslåede start- og slutdatoer, faktiske start- og slutdatoer samt anslået og faktisk arbejde i denne tabel, og vælg projekttype. Anslået og faktisk varighed beregnes automatisk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2:2" ht="19.5" x14ac:dyDescent="0.25">
      <c r="B1" s="17" t="s">
        <v>0</v>
      </c>
    </row>
    <row r="2" spans="2:2" ht="38.25" customHeight="1" x14ac:dyDescent="0.2">
      <c r="B2" s="19" t="s">
        <v>1</v>
      </c>
    </row>
    <row r="3" spans="2:2" ht="33.75" customHeight="1" x14ac:dyDescent="0.2">
      <c r="B3" s="19" t="s">
        <v>2</v>
      </c>
    </row>
    <row r="4" spans="2:2" ht="27" customHeight="1" x14ac:dyDescent="0.2">
      <c r="B4" s="19" t="s">
        <v>3</v>
      </c>
    </row>
    <row r="5" spans="2:2" ht="16.5" customHeight="1" x14ac:dyDescent="0.2">
      <c r="B5" s="21" t="s">
        <v>4</v>
      </c>
    </row>
    <row r="6" spans="2:2" ht="63" customHeight="1" x14ac:dyDescent="0.2">
      <c r="B6" s="20" t="s">
        <v>5</v>
      </c>
    </row>
    <row r="7" spans="2:2" ht="36" customHeight="1" x14ac:dyDescent="0.2">
      <c r="B7" s="20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/>
  </sheetPr>
  <dimension ref="A1:I43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34" style="5" customWidth="1"/>
    <col min="3" max="3" width="24.28515625" style="5" customWidth="1"/>
    <col min="4" max="4" width="15.5703125" style="5" customWidth="1"/>
    <col min="5" max="5" width="18.7109375" style="5" customWidth="1"/>
    <col min="6" max="6" width="21" style="5" bestFit="1" customWidth="1"/>
    <col min="7" max="7" width="19" style="5" customWidth="1"/>
    <col min="8" max="8" width="33.42578125" style="5" customWidth="1"/>
    <col min="9" max="9" width="7.85546875" style="5" bestFit="1" customWidth="1"/>
    <col min="10" max="10" width="2.7109375" style="5" customWidth="1"/>
    <col min="11" max="16384" width="9.140625" style="5"/>
  </cols>
  <sheetData>
    <row r="1" spans="1:9" ht="35.450000000000003" customHeight="1" x14ac:dyDescent="0.35">
      <c r="A1" s="11" t="s">
        <v>7</v>
      </c>
      <c r="B1" s="2" t="s">
        <v>14</v>
      </c>
      <c r="C1" s="2"/>
      <c r="D1" s="2"/>
      <c r="E1" s="2"/>
      <c r="F1" s="2"/>
      <c r="G1" s="2"/>
      <c r="H1" s="2"/>
      <c r="I1" s="2"/>
    </row>
    <row r="2" spans="1:9" ht="19.5" x14ac:dyDescent="0.25">
      <c r="A2" s="11" t="s">
        <v>8</v>
      </c>
      <c r="B2" s="3" t="s">
        <v>15</v>
      </c>
      <c r="C2" s="3"/>
      <c r="D2" s="3"/>
      <c r="E2" s="3"/>
      <c r="F2" s="3"/>
      <c r="G2" s="3"/>
      <c r="H2" s="3"/>
      <c r="I2" s="3"/>
    </row>
    <row r="3" spans="1:9" ht="15" x14ac:dyDescent="0.2">
      <c r="A3" s="11" t="s">
        <v>9</v>
      </c>
      <c r="B3" s="4" t="str">
        <f>B1&amp;" Confidential"</f>
        <v>Firmanavn Confidential</v>
      </c>
      <c r="C3" s="4"/>
      <c r="D3" s="4"/>
      <c r="E3" s="4"/>
      <c r="F3" s="4"/>
      <c r="G3" s="4"/>
      <c r="H3" s="4"/>
      <c r="I3" s="4"/>
    </row>
    <row r="4" spans="1:9" ht="28.5" customHeight="1" x14ac:dyDescent="0.2">
      <c r="A4" s="11" t="s">
        <v>10</v>
      </c>
      <c r="B4" s="8" t="s">
        <v>16</v>
      </c>
    </row>
    <row r="5" spans="1:9" ht="38.25" customHeight="1" x14ac:dyDescent="0.2">
      <c r="A5" s="11" t="s">
        <v>11</v>
      </c>
      <c r="B5" s="9" t="s">
        <v>17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35</v>
      </c>
      <c r="H5" s="9" t="s">
        <v>36</v>
      </c>
      <c r="I5" s="9" t="s">
        <v>72</v>
      </c>
    </row>
    <row r="6" spans="1:9" x14ac:dyDescent="0.2">
      <c r="B6" s="5" t="s">
        <v>18</v>
      </c>
      <c r="C6" s="6">
        <v>0.2</v>
      </c>
      <c r="D6" s="6">
        <v>0.1</v>
      </c>
      <c r="E6" s="6">
        <v>0.6</v>
      </c>
      <c r="F6" s="6">
        <v>0</v>
      </c>
      <c r="G6" s="6">
        <v>0</v>
      </c>
      <c r="H6" s="6">
        <v>0.1</v>
      </c>
      <c r="I6" s="7">
        <f>SUM(Parametre[[#This Row],[KONTOADMINISTRATOR]:[ADMINISTRATIONSMEDARBEJDERE]])</f>
        <v>1</v>
      </c>
    </row>
    <row r="7" spans="1:9" x14ac:dyDescent="0.2">
      <c r="B7" s="5" t="s">
        <v>19</v>
      </c>
      <c r="C7" s="6">
        <v>0.2</v>
      </c>
      <c r="D7" s="6">
        <v>0.5</v>
      </c>
      <c r="E7" s="6">
        <v>0.1</v>
      </c>
      <c r="F7" s="6">
        <v>0.1</v>
      </c>
      <c r="G7" s="6">
        <v>0</v>
      </c>
      <c r="H7" s="6">
        <v>0.1</v>
      </c>
      <c r="I7" s="7">
        <f>SUM(Parametre[[#This Row],[KONTOADMINISTRATOR]:[ADMINISTRATIONSMEDARBEJDERE]])</f>
        <v>0.99999999999999989</v>
      </c>
    </row>
    <row r="8" spans="1:9" x14ac:dyDescent="0.2">
      <c r="B8" s="5" t="s">
        <v>20</v>
      </c>
      <c r="C8" s="6">
        <v>0.2</v>
      </c>
      <c r="D8" s="6">
        <v>0.2</v>
      </c>
      <c r="E8" s="6">
        <v>0</v>
      </c>
      <c r="F8" s="6">
        <v>0.5</v>
      </c>
      <c r="G8" s="6">
        <v>0</v>
      </c>
      <c r="H8" s="6">
        <v>0.1</v>
      </c>
      <c r="I8" s="7">
        <f>SUM(Parametre[[#This Row],[KONTOADMINISTRATOR]:[ADMINISTRATIONSMEDARBEJDERE]])</f>
        <v>1</v>
      </c>
    </row>
    <row r="9" spans="1:9" x14ac:dyDescent="0.2">
      <c r="B9" s="5" t="s">
        <v>21</v>
      </c>
      <c r="C9" s="6">
        <v>0.2</v>
      </c>
      <c r="D9" s="6">
        <v>0.6</v>
      </c>
      <c r="E9" s="6">
        <v>0</v>
      </c>
      <c r="F9" s="6">
        <v>0</v>
      </c>
      <c r="G9" s="6">
        <v>0.1</v>
      </c>
      <c r="H9" s="6">
        <v>0.1</v>
      </c>
      <c r="I9" s="7">
        <f>SUM(Parametre[[#This Row],[KONTOADMINISTRATOR]:[ADMINISTRATIONSMEDARBEJDERE]])</f>
        <v>1</v>
      </c>
    </row>
    <row r="10" spans="1:9" x14ac:dyDescent="0.2">
      <c r="B10" s="5" t="s">
        <v>22</v>
      </c>
      <c r="C10" s="6">
        <v>0.2</v>
      </c>
      <c r="D10" s="6">
        <v>0.1</v>
      </c>
      <c r="E10" s="6">
        <v>0</v>
      </c>
      <c r="F10" s="6">
        <v>0</v>
      </c>
      <c r="G10" s="6">
        <v>0.6</v>
      </c>
      <c r="H10" s="6">
        <v>0.1</v>
      </c>
      <c r="I10" s="7">
        <f>SUM(Parametre[[#This Row],[KONTOADMINISTRATOR]:[ADMINISTRATIONSMEDARBEJDERE]])</f>
        <v>1</v>
      </c>
    </row>
    <row r="11" spans="1:9" x14ac:dyDescent="0.2">
      <c r="B11" s="5" t="s">
        <v>23</v>
      </c>
      <c r="C11" s="6">
        <v>0.2</v>
      </c>
      <c r="D11" s="6">
        <v>0.2</v>
      </c>
      <c r="E11" s="6">
        <v>0.2</v>
      </c>
      <c r="F11" s="6">
        <v>0.2</v>
      </c>
      <c r="G11" s="6">
        <v>0</v>
      </c>
      <c r="H11" s="6">
        <v>0.2</v>
      </c>
      <c r="I11" s="7">
        <f>SUM(Parametre[[#This Row],[KONTOADMINISTRATOR]:[ADMINISTRATIONSMEDARBEJDERE]])</f>
        <v>1</v>
      </c>
    </row>
    <row r="12" spans="1:9" x14ac:dyDescent="0.2">
      <c r="A12" s="11" t="s">
        <v>12</v>
      </c>
      <c r="B12" s="5" t="s">
        <v>24</v>
      </c>
      <c r="C12" s="26">
        <v>180</v>
      </c>
      <c r="D12" s="26">
        <v>120</v>
      </c>
      <c r="E12" s="26">
        <v>150</v>
      </c>
      <c r="F12" s="26">
        <v>100</v>
      </c>
      <c r="G12" s="26">
        <v>80</v>
      </c>
      <c r="H12" s="26">
        <v>60</v>
      </c>
      <c r="I12" s="6"/>
    </row>
    <row r="14" spans="1:9" x14ac:dyDescent="0.2">
      <c r="A14" s="11" t="s">
        <v>13</v>
      </c>
      <c r="F14" s="1" t="s">
        <v>34</v>
      </c>
    </row>
    <row r="15" spans="1:9" x14ac:dyDescent="0.2">
      <c r="B15" s="11"/>
      <c r="C15" s="11" t="s">
        <v>30</v>
      </c>
      <c r="D15" s="11" t="s">
        <v>31</v>
      </c>
      <c r="E15" s="11" t="s">
        <v>32</v>
      </c>
      <c r="F15" s="11" t="s">
        <v>33</v>
      </c>
      <c r="G15" s="11" t="s">
        <v>35</v>
      </c>
      <c r="H15" s="11" t="s">
        <v>36</v>
      </c>
    </row>
    <row r="16" spans="1:9" x14ac:dyDescent="0.2">
      <c r="B16" s="11" t="s">
        <v>25</v>
      </c>
      <c r="C16" s="27">
        <f>SUBTOTAL(109,ProjektOplysninger[KONTOADMINISTRATOR])</f>
        <v>54000</v>
      </c>
      <c r="D16" s="27">
        <f>SUBTOTAL(109,ProjektOplysninger[PROJEKTLEDER])</f>
        <v>52200</v>
      </c>
      <c r="E16" s="27">
        <f>SUBTOTAL(109,ProjektOplysninger[STRATEGILEDER])</f>
        <v>24000</v>
      </c>
      <c r="F16" s="27">
        <f>SUBTOTAL(109,ProjektOplysninger[DESIGNSPECIALIST])</f>
        <v>29000</v>
      </c>
      <c r="G16" s="27">
        <f>SUBTOTAL(109,ProjektOplysninger[PERSONALE VED BEGIVENHED])</f>
        <v>13200</v>
      </c>
      <c r="H16" s="27">
        <f>SUBTOTAL(109,ProjektOplysninger[ADMINISTRATIONSMEDARBEJDERE])</f>
        <v>9000</v>
      </c>
    </row>
    <row r="17" spans="2:9" x14ac:dyDescent="0.2">
      <c r="B17" s="11" t="s">
        <v>26</v>
      </c>
      <c r="C17" s="27">
        <f>SUBTOTAL(109,ProjektOplysninger[[KONTOADMINISTRATOR ]])</f>
        <v>54360</v>
      </c>
      <c r="D17" s="27">
        <f>SUBTOTAL(109,ProjektOplysninger[[PROJEKTLEDER ]])</f>
        <v>51540</v>
      </c>
      <c r="E17" s="27">
        <f>SUBTOTAL(109,ProjektOplysninger[[STRATEGILEDER ]])</f>
        <v>25650</v>
      </c>
      <c r="F17" s="27">
        <f>SUBTOTAL(109,ProjektOplysninger[[DESIGNSPECIALIST ]])</f>
        <v>28900</v>
      </c>
      <c r="G17" s="27">
        <f>SUBTOTAL(109,ProjektOplysninger[[PERSONALE VED BEGIVENHED ]])</f>
        <v>13400</v>
      </c>
      <c r="H17" s="27">
        <f>SUBTOTAL(109,ProjektOplysninger[[ADMINISTRATIONSMEDARBEJDERE ]])</f>
        <v>9060</v>
      </c>
    </row>
    <row r="18" spans="2:9" x14ac:dyDescent="0.2">
      <c r="B18" s="11" t="s">
        <v>27</v>
      </c>
      <c r="C18" s="12">
        <f>C16/$C$12</f>
        <v>300</v>
      </c>
      <c r="D18" s="12">
        <f t="shared" ref="D18:H18" si="0">D16/$C$12</f>
        <v>290</v>
      </c>
      <c r="E18" s="12">
        <f t="shared" si="0"/>
        <v>133.33333333333334</v>
      </c>
      <c r="F18" s="12">
        <f t="shared" si="0"/>
        <v>161.11111111111111</v>
      </c>
      <c r="G18" s="12">
        <f t="shared" si="0"/>
        <v>73.333333333333329</v>
      </c>
      <c r="H18" s="12">
        <f t="shared" si="0"/>
        <v>50</v>
      </c>
    </row>
    <row r="19" spans="2:9" x14ac:dyDescent="0.2">
      <c r="B19" s="11" t="s">
        <v>28</v>
      </c>
      <c r="C19" s="12">
        <f>C17/$C$12</f>
        <v>302</v>
      </c>
      <c r="D19" s="12">
        <f>D17/$C$12</f>
        <v>286.33333333333331</v>
      </c>
      <c r="E19" s="12">
        <f>E17/$C$12</f>
        <v>142.5</v>
      </c>
      <c r="F19" s="12">
        <f>F17/$C$12</f>
        <v>160.55555555555554</v>
      </c>
      <c r="G19" s="12">
        <f>G17/$C$12</f>
        <v>74.444444444444443</v>
      </c>
      <c r="H19" s="12">
        <f>H17/$C$12</f>
        <v>50.333333333333336</v>
      </c>
    </row>
    <row r="20" spans="2:9" x14ac:dyDescent="0.2">
      <c r="B20" s="11"/>
      <c r="C20" s="11"/>
      <c r="D20" s="11"/>
      <c r="E20" s="11"/>
      <c r="F20" s="11"/>
      <c r="G20" s="11"/>
      <c r="H20" s="11"/>
      <c r="I20" s="11"/>
    </row>
    <row r="21" spans="2:9" x14ac:dyDescent="0.2">
      <c r="B21" s="11"/>
      <c r="C21" s="11"/>
      <c r="D21" s="11"/>
      <c r="E21" s="11"/>
      <c r="F21" s="11"/>
      <c r="G21" s="11"/>
      <c r="H21" s="11"/>
      <c r="I21" s="11"/>
    </row>
    <row r="22" spans="2:9" x14ac:dyDescent="0.2">
      <c r="B22" s="11"/>
      <c r="C22" s="11"/>
      <c r="D22" s="11"/>
      <c r="E22" s="11"/>
      <c r="F22" s="11"/>
      <c r="G22" s="11"/>
      <c r="H22" s="11"/>
      <c r="I22" s="11"/>
    </row>
    <row r="23" spans="2:9" x14ac:dyDescent="0.2">
      <c r="F23" s="11"/>
      <c r="G23" s="11"/>
      <c r="H23" s="11"/>
      <c r="I23" s="11"/>
    </row>
    <row r="24" spans="2:9" x14ac:dyDescent="0.2">
      <c r="B24" s="28" t="s">
        <v>29</v>
      </c>
      <c r="C24" s="28"/>
      <c r="D24" s="28"/>
      <c r="F24" s="11"/>
      <c r="G24" s="11"/>
      <c r="H24" s="11"/>
      <c r="I24" s="11"/>
    </row>
    <row r="25" spans="2:9" x14ac:dyDescent="0.2">
      <c r="B25" s="28"/>
      <c r="C25" s="28"/>
      <c r="D25" s="28"/>
      <c r="F25" s="11"/>
      <c r="G25" s="11"/>
      <c r="H25" s="11"/>
      <c r="I25" s="11"/>
    </row>
    <row r="26" spans="2:9" x14ac:dyDescent="0.2">
      <c r="B26" s="28"/>
      <c r="C26" s="28"/>
      <c r="D26" s="28"/>
      <c r="F26" s="11"/>
      <c r="G26" s="11"/>
      <c r="H26" s="11"/>
      <c r="I26" s="11"/>
    </row>
    <row r="27" spans="2:9" x14ac:dyDescent="0.2">
      <c r="B27" s="28"/>
      <c r="C27" s="28"/>
      <c r="D27" s="28"/>
      <c r="F27" s="11"/>
      <c r="G27" s="11"/>
      <c r="H27" s="11"/>
      <c r="I27" s="11"/>
    </row>
    <row r="28" spans="2:9" x14ac:dyDescent="0.2">
      <c r="B28" s="28"/>
      <c r="C28" s="28"/>
      <c r="D28" s="28"/>
      <c r="F28" s="11"/>
      <c r="G28" s="11"/>
      <c r="H28" s="11"/>
      <c r="I28" s="11"/>
    </row>
    <row r="29" spans="2:9" x14ac:dyDescent="0.2">
      <c r="B29" s="28"/>
      <c r="C29" s="28"/>
      <c r="D29" s="28"/>
      <c r="F29" s="11"/>
      <c r="G29" s="11"/>
      <c r="H29" s="11"/>
      <c r="I29" s="11"/>
    </row>
    <row r="30" spans="2:9" x14ac:dyDescent="0.2">
      <c r="B30" s="28"/>
      <c r="C30" s="28"/>
      <c r="D30" s="28"/>
      <c r="F30" s="11"/>
      <c r="G30" s="11"/>
      <c r="H30" s="11"/>
      <c r="I30" s="11"/>
    </row>
    <row r="31" spans="2:9" x14ac:dyDescent="0.2">
      <c r="B31" s="28"/>
      <c r="C31" s="28"/>
      <c r="D31" s="28"/>
      <c r="F31" s="11"/>
      <c r="G31" s="11"/>
      <c r="H31" s="11"/>
      <c r="I31" s="11"/>
    </row>
    <row r="32" spans="2:9" x14ac:dyDescent="0.2">
      <c r="B32" s="28"/>
      <c r="C32" s="28"/>
      <c r="D32" s="28"/>
      <c r="F32" s="11"/>
      <c r="G32" s="11"/>
      <c r="H32" s="11"/>
      <c r="I32" s="11"/>
    </row>
    <row r="33" spans="2:9" x14ac:dyDescent="0.2">
      <c r="B33" s="28"/>
      <c r="C33" s="28"/>
      <c r="D33" s="28"/>
      <c r="F33" s="11"/>
      <c r="G33" s="11"/>
      <c r="H33" s="11"/>
      <c r="I33" s="11"/>
    </row>
    <row r="34" spans="2:9" x14ac:dyDescent="0.2">
      <c r="B34" s="28"/>
      <c r="C34" s="28"/>
      <c r="D34" s="28"/>
      <c r="F34" s="11"/>
      <c r="G34" s="11"/>
      <c r="H34" s="11"/>
      <c r="I34" s="11"/>
    </row>
    <row r="35" spans="2:9" x14ac:dyDescent="0.2">
      <c r="B35" s="28"/>
      <c r="C35" s="28"/>
      <c r="D35" s="28"/>
      <c r="F35" s="11"/>
      <c r="G35" s="11"/>
      <c r="H35" s="11"/>
      <c r="I35" s="11"/>
    </row>
    <row r="36" spans="2:9" x14ac:dyDescent="0.2">
      <c r="B36" s="28"/>
      <c r="C36" s="28"/>
      <c r="D36" s="28"/>
      <c r="F36" s="11"/>
      <c r="G36" s="11"/>
      <c r="H36" s="11"/>
      <c r="I36" s="11"/>
    </row>
    <row r="37" spans="2:9" x14ac:dyDescent="0.2">
      <c r="B37" s="28"/>
      <c r="C37" s="28"/>
      <c r="D37" s="28"/>
      <c r="F37" s="11"/>
      <c r="G37" s="11"/>
      <c r="H37" s="11"/>
      <c r="I37" s="11"/>
    </row>
    <row r="38" spans="2:9" x14ac:dyDescent="0.2">
      <c r="B38" s="28"/>
      <c r="C38" s="28"/>
      <c r="D38" s="28"/>
      <c r="F38" s="11"/>
      <c r="G38" s="11"/>
      <c r="H38" s="11"/>
      <c r="I38" s="11"/>
    </row>
    <row r="39" spans="2:9" x14ac:dyDescent="0.2">
      <c r="B39" s="28"/>
      <c r="C39" s="28"/>
      <c r="D39" s="28"/>
      <c r="F39" s="11"/>
      <c r="G39" s="11"/>
      <c r="H39" s="11"/>
      <c r="I39" s="11"/>
    </row>
    <row r="40" spans="2:9" x14ac:dyDescent="0.2">
      <c r="B40" s="28"/>
      <c r="C40" s="28"/>
      <c r="D40" s="28"/>
      <c r="F40" s="11"/>
      <c r="G40" s="11"/>
      <c r="H40" s="11"/>
      <c r="I40" s="11"/>
    </row>
    <row r="41" spans="2:9" x14ac:dyDescent="0.2">
      <c r="B41" s="28"/>
      <c r="C41" s="28"/>
      <c r="D41" s="28"/>
      <c r="F41" s="11"/>
      <c r="G41" s="11"/>
      <c r="H41" s="11"/>
      <c r="I41" s="11"/>
    </row>
    <row r="42" spans="2:9" x14ac:dyDescent="0.2">
      <c r="B42" s="28"/>
      <c r="C42" s="28"/>
      <c r="D42" s="28"/>
      <c r="F42" s="11"/>
      <c r="G42" s="11"/>
      <c r="H42" s="11"/>
      <c r="I42" s="11"/>
    </row>
    <row r="43" spans="2:9" x14ac:dyDescent="0.2">
      <c r="B43" s="28"/>
      <c r="C43" s="28"/>
      <c r="D43" s="28"/>
      <c r="F43" s="11"/>
      <c r="G43" s="11"/>
      <c r="H43" s="11"/>
      <c r="I43" s="11"/>
    </row>
  </sheetData>
  <mergeCells count="1">
    <mergeCell ref="B24:D4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</sheetPr>
  <dimension ref="A1:W10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25.5703125" style="1" customWidth="1"/>
    <col min="3" max="3" width="30.85546875" style="1" customWidth="1"/>
    <col min="4" max="4" width="11.85546875" style="1" customWidth="1"/>
    <col min="5" max="5" width="13.140625" style="1" customWidth="1"/>
    <col min="6" max="6" width="11.85546875" style="1" customWidth="1"/>
    <col min="7" max="7" width="14.140625" style="1" customWidth="1"/>
    <col min="8" max="8" width="11.140625" style="1" bestFit="1" customWidth="1"/>
    <col min="9" max="9" width="12.42578125" style="1" customWidth="1"/>
    <col min="10" max="10" width="11.140625" style="1" bestFit="1" customWidth="1"/>
    <col min="11" max="11" width="10.28515625" style="1" customWidth="1"/>
    <col min="12" max="12" width="24" style="1" hidden="1" customWidth="1"/>
    <col min="13" max="13" width="16.5703125" style="1" hidden="1" customWidth="1"/>
    <col min="14" max="14" width="16.85546875" style="1" hidden="1" customWidth="1"/>
    <col min="15" max="16" width="17.85546875" style="1" hidden="1" customWidth="1"/>
    <col min="17" max="17" width="32.7109375" style="1" hidden="1" customWidth="1"/>
    <col min="18" max="18" width="23.5703125" style="1" hidden="1" customWidth="1"/>
    <col min="19" max="19" width="18.5703125" style="1" hidden="1" customWidth="1"/>
    <col min="20" max="20" width="17.7109375" style="1" hidden="1" customWidth="1"/>
    <col min="21" max="21" width="18.140625" style="1" hidden="1" customWidth="1"/>
    <col min="22" max="22" width="16" style="1" hidden="1" customWidth="1"/>
    <col min="23" max="23" width="32" style="1" hidden="1" customWidth="1"/>
    <col min="24" max="24" width="2.7109375" style="1" customWidth="1"/>
    <col min="25" max="16384" width="9.140625" style="1"/>
  </cols>
  <sheetData>
    <row r="1" spans="1:23" ht="35.450000000000003" customHeight="1" x14ac:dyDescent="0.35">
      <c r="A1" s="11" t="s">
        <v>74</v>
      </c>
      <c r="B1" s="2" t="str">
        <f>PROJEKTPARAMETRE!B1</f>
        <v>Firmanavn</v>
      </c>
      <c r="C1" s="2"/>
      <c r="D1" s="2"/>
      <c r="E1" s="2"/>
      <c r="F1" s="2"/>
      <c r="G1" s="2"/>
      <c r="H1" s="2"/>
      <c r="I1" s="2"/>
      <c r="J1" s="2"/>
      <c r="K1" s="2"/>
    </row>
    <row r="2" spans="1:23" ht="19.5" x14ac:dyDescent="0.25">
      <c r="A2" s="11" t="s">
        <v>8</v>
      </c>
      <c r="B2" s="3" t="s">
        <v>15</v>
      </c>
      <c r="C2" s="3"/>
      <c r="D2" s="3"/>
      <c r="E2" s="3"/>
      <c r="F2" s="3"/>
      <c r="G2" s="3"/>
      <c r="H2" s="3"/>
      <c r="I2" s="3"/>
      <c r="J2" s="3"/>
      <c r="K2" s="3"/>
    </row>
    <row r="3" spans="1:23" s="15" customFormat="1" ht="29.25" customHeight="1" x14ac:dyDescent="0.2">
      <c r="A3" s="18" t="s">
        <v>9</v>
      </c>
      <c r="B3" s="16" t="str">
        <f>PROJEKTPARAMETRE!B3</f>
        <v>Firmanavn Confidential</v>
      </c>
      <c r="C3" s="16"/>
      <c r="D3" s="16"/>
      <c r="E3" s="16"/>
      <c r="F3" s="16"/>
      <c r="G3" s="16"/>
      <c r="H3" s="16"/>
      <c r="I3" s="16"/>
      <c r="J3" s="16"/>
      <c r="K3" s="16"/>
    </row>
    <row r="4" spans="1:23" ht="25.5" customHeight="1" x14ac:dyDescent="0.2">
      <c r="A4" s="22" t="s">
        <v>37</v>
      </c>
      <c r="B4" s="13" t="s">
        <v>38</v>
      </c>
      <c r="C4" s="13" t="s">
        <v>17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30</v>
      </c>
      <c r="M4" s="13" t="s">
        <v>31</v>
      </c>
      <c r="N4" s="13" t="s">
        <v>32</v>
      </c>
      <c r="O4" s="13" t="s">
        <v>33</v>
      </c>
      <c r="P4" s="13" t="s">
        <v>35</v>
      </c>
      <c r="Q4" s="13" t="s">
        <v>36</v>
      </c>
      <c r="R4" s="13" t="s">
        <v>52</v>
      </c>
      <c r="S4" s="13" t="s">
        <v>53</v>
      </c>
      <c r="T4" s="13" t="s">
        <v>54</v>
      </c>
      <c r="U4" s="13" t="s">
        <v>55</v>
      </c>
      <c r="V4" s="13" t="s">
        <v>56</v>
      </c>
      <c r="W4" s="13" t="s">
        <v>57</v>
      </c>
    </row>
    <row r="5" spans="1:23" x14ac:dyDescent="0.2">
      <c r="B5" t="s">
        <v>39</v>
      </c>
      <c r="C5" t="s">
        <v>18</v>
      </c>
      <c r="D5" s="14">
        <f ca="1">DATE(YEAR(TODAY()),6,9)</f>
        <v>43625</v>
      </c>
      <c r="E5" s="14">
        <f ca="1">DATE(YEAR(TODAY()),8,7)</f>
        <v>43684</v>
      </c>
      <c r="F5" s="14">
        <f ca="1">DATE(YEAR(TODAY()),6,29)</f>
        <v>43645</v>
      </c>
      <c r="G5" s="14">
        <f ca="1">DATE(YEAR(TODAY()),9,3)</f>
        <v>43711</v>
      </c>
      <c r="H5">
        <v>200</v>
      </c>
      <c r="I5">
        <v>220</v>
      </c>
      <c r="J5">
        <f ca="1">DAYS360(ProjektOplysninger[[#This Row],[ANSLÅET START]],ProjektOplysninger[[#This Row],[ANSLÅET AFSLUTNING]],FALSE)</f>
        <v>58</v>
      </c>
      <c r="K5">
        <f ca="1">DAYS360(ProjektOplysninger[[#This Row],[FAKTISK START]],ProjektOplysninger[[#This Row],[FAKTISK AFSLUTNING]],FALSE)</f>
        <v>64</v>
      </c>
      <c r="L5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Row],[ANSLÅET ARBEJDE]]</f>
        <v>7200</v>
      </c>
      <c r="M5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Row],[ANSLÅET ARBEJDE]]</f>
        <v>2400</v>
      </c>
      <c r="N5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Row],[ANSLÅET ARBEJDE]]</f>
        <v>18000</v>
      </c>
      <c r="O5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Row],[ANSLÅET ARBEJDE]]</f>
        <v>0</v>
      </c>
      <c r="P5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Row],[ANSLÅET ARBEJDE]]</f>
        <v>0</v>
      </c>
      <c r="Q5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Row],[ANSLÅET ARBEJDE]]</f>
        <v>1200</v>
      </c>
      <c r="R5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Row],[FAKTISK ARBEJDE]]</f>
        <v>7920</v>
      </c>
      <c r="S5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Row],[FAKTISK ARBEJDE]]</f>
        <v>2640</v>
      </c>
      <c r="T5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Row],[FAKTISK ARBEJDE]]</f>
        <v>19800</v>
      </c>
      <c r="U5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Row],[FAKTISK ARBEJDE]]</f>
        <v>0</v>
      </c>
      <c r="V5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Row],[FAKTISK ARBEJDE]]</f>
        <v>0</v>
      </c>
      <c r="W5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Row],[FAKTISK ARBEJDE]]</f>
        <v>1320</v>
      </c>
    </row>
    <row r="6" spans="1:23" x14ac:dyDescent="0.2">
      <c r="B6" t="s">
        <v>40</v>
      </c>
      <c r="C6" t="s">
        <v>19</v>
      </c>
      <c r="D6" s="14">
        <f ca="1">DATE(YEAR(TODAY())+1,6,25)</f>
        <v>44007</v>
      </c>
      <c r="E6" s="14">
        <f ca="1">DATE(YEAR(TODAY())+1,7,27)</f>
        <v>44039</v>
      </c>
      <c r="F6" s="14">
        <f ca="1">DATE(YEAR(TODAY()),7,15)</f>
        <v>43661</v>
      </c>
      <c r="G6" s="14">
        <f ca="1">DATE(YEAR(TODAY())+1,8,25)</f>
        <v>44068</v>
      </c>
      <c r="H6">
        <v>400</v>
      </c>
      <c r="I6">
        <v>390</v>
      </c>
      <c r="J6">
        <f ca="1">DAYS360(ProjektOplysninger[[#This Row],[ANSLÅET START]],ProjektOplysninger[[#This Row],[ANSLÅET AFSLUTNING]],FALSE)</f>
        <v>32</v>
      </c>
      <c r="K6">
        <f ca="1">DAYS360(ProjektOplysninger[[#This Row],[FAKTISK START]],ProjektOplysninger[[#This Row],[FAKTISK AFSLUTNING]],FALSE)</f>
        <v>400</v>
      </c>
      <c r="L6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Row],[ANSLÅET ARBEJDE]]</f>
        <v>14400</v>
      </c>
      <c r="M6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Row],[ANSLÅET ARBEJDE]]</f>
        <v>24000</v>
      </c>
      <c r="N6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Row],[ANSLÅET ARBEJDE]]</f>
        <v>6000</v>
      </c>
      <c r="O6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Row],[ANSLÅET ARBEJDE]]</f>
        <v>4000</v>
      </c>
      <c r="P6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Row],[ANSLÅET ARBEJDE]]</f>
        <v>0</v>
      </c>
      <c r="Q6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Row],[ANSLÅET ARBEJDE]]</f>
        <v>2400</v>
      </c>
      <c r="R6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Row],[FAKTISK ARBEJDE]]</f>
        <v>14040</v>
      </c>
      <c r="S6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Row],[FAKTISK ARBEJDE]]</f>
        <v>23400</v>
      </c>
      <c r="T6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Row],[FAKTISK ARBEJDE]]</f>
        <v>5850</v>
      </c>
      <c r="U6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Row],[FAKTISK ARBEJDE]]</f>
        <v>3900</v>
      </c>
      <c r="V6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Row],[FAKTISK ARBEJDE]]</f>
        <v>0</v>
      </c>
      <c r="W6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Row],[FAKTISK ARBEJDE]]</f>
        <v>2340</v>
      </c>
    </row>
    <row r="7" spans="1:23" x14ac:dyDescent="0.2">
      <c r="B7" t="s">
        <v>41</v>
      </c>
      <c r="C7" t="s">
        <v>20</v>
      </c>
      <c r="D7" s="14">
        <f ca="1">DATE(YEAR(TODAY())+2,7,12)</f>
        <v>44389</v>
      </c>
      <c r="E7" s="14">
        <f ca="1">DATE(YEAR(TODAY())+2,9,19)</f>
        <v>44458</v>
      </c>
      <c r="F7" s="14">
        <f ca="1">DATE(YEAR(TODAY())+6,8,7)</f>
        <v>45876</v>
      </c>
      <c r="G7" s="14">
        <f ca="1">DATE(YEAR(TODAY())+6,10,10)</f>
        <v>45940</v>
      </c>
      <c r="H7">
        <v>500</v>
      </c>
      <c r="I7">
        <v>500</v>
      </c>
      <c r="J7">
        <f ca="1">DAYS360(ProjektOplysninger[[#This Row],[ANSLÅET START]],ProjektOplysninger[[#This Row],[ANSLÅET AFSLUTNING]],FALSE)</f>
        <v>67</v>
      </c>
      <c r="K7">
        <f ca="1">DAYS360(ProjektOplysninger[[#This Row],[FAKTISK START]],ProjektOplysninger[[#This Row],[FAKTISK AFSLUTNING]],FALSE)</f>
        <v>63</v>
      </c>
      <c r="L7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Row],[ANSLÅET ARBEJDE]]</f>
        <v>18000</v>
      </c>
      <c r="M7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Row],[ANSLÅET ARBEJDE]]</f>
        <v>12000</v>
      </c>
      <c r="N7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Row],[ANSLÅET ARBEJDE]]</f>
        <v>0</v>
      </c>
      <c r="O7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Row],[ANSLÅET ARBEJDE]]</f>
        <v>25000</v>
      </c>
      <c r="P7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Row],[ANSLÅET ARBEJDE]]</f>
        <v>0</v>
      </c>
      <c r="Q7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Row],[ANSLÅET ARBEJDE]]</f>
        <v>3000</v>
      </c>
      <c r="R7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Row],[FAKTISK ARBEJDE]]</f>
        <v>18000</v>
      </c>
      <c r="S7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Row],[FAKTISK ARBEJDE]]</f>
        <v>12000</v>
      </c>
      <c r="T7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Row],[FAKTISK ARBEJDE]]</f>
        <v>0</v>
      </c>
      <c r="U7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Row],[FAKTISK ARBEJDE]]</f>
        <v>25000</v>
      </c>
      <c r="V7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Row],[FAKTISK ARBEJDE]]</f>
        <v>0</v>
      </c>
      <c r="W7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Row],[FAKTISK ARBEJDE]]</f>
        <v>3000</v>
      </c>
    </row>
    <row r="8" spans="1:23" x14ac:dyDescent="0.2">
      <c r="B8" t="s">
        <v>42</v>
      </c>
      <c r="C8" t="s">
        <v>21</v>
      </c>
      <c r="D8" s="14">
        <f ca="1">DATE(YEAR(TODAY())+3,7,30)</f>
        <v>44772</v>
      </c>
      <c r="E8" s="14">
        <f ca="1">DATE(YEAR(TODAY())+3,9,28)</f>
        <v>44832</v>
      </c>
      <c r="F8" s="14">
        <f ca="1">DATE(YEAR(TODAY())+3,9,14)</f>
        <v>44818</v>
      </c>
      <c r="G8" s="14">
        <f ca="1">DATE(YEAR(TODAY())+3,11,13)</f>
        <v>44878</v>
      </c>
      <c r="H8">
        <v>150</v>
      </c>
      <c r="I8">
        <v>145</v>
      </c>
      <c r="J8">
        <f ca="1">DAYS360(ProjektOplysninger[[#This Row],[ANSLÅET START]],ProjektOplysninger[[#This Row],[ANSLÅET AFSLUTNING]],FALSE)</f>
        <v>58</v>
      </c>
      <c r="K8">
        <f ca="1">DAYS360(ProjektOplysninger[[#This Row],[FAKTISK START]],ProjektOplysninger[[#This Row],[FAKTISK AFSLUTNING]],FALSE)</f>
        <v>59</v>
      </c>
      <c r="L8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Row],[ANSLÅET ARBEJDE]]</f>
        <v>5400</v>
      </c>
      <c r="M8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Row],[ANSLÅET ARBEJDE]]</f>
        <v>10800</v>
      </c>
      <c r="N8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Row],[ANSLÅET ARBEJDE]]</f>
        <v>0</v>
      </c>
      <c r="O8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Row],[ANSLÅET ARBEJDE]]</f>
        <v>0</v>
      </c>
      <c r="P8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Row],[ANSLÅET ARBEJDE]]</f>
        <v>1200</v>
      </c>
      <c r="Q8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Row],[ANSLÅET ARBEJDE]]</f>
        <v>900</v>
      </c>
      <c r="R8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Row],[FAKTISK ARBEJDE]]</f>
        <v>5220</v>
      </c>
      <c r="S8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Row],[FAKTISK ARBEJDE]]</f>
        <v>10440</v>
      </c>
      <c r="T8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Row],[FAKTISK ARBEJDE]]</f>
        <v>0</v>
      </c>
      <c r="U8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Row],[FAKTISK ARBEJDE]]</f>
        <v>0</v>
      </c>
      <c r="V8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Row],[FAKTISK ARBEJDE]]</f>
        <v>1160</v>
      </c>
      <c r="W8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Row],[FAKTISK ARBEJDE]]</f>
        <v>870</v>
      </c>
    </row>
    <row r="9" spans="1:23" x14ac:dyDescent="0.2">
      <c r="B9" t="s">
        <v>43</v>
      </c>
      <c r="C9" t="s">
        <v>22</v>
      </c>
      <c r="D9" s="14">
        <f ca="1">DATE(YEAR(TODAY())+4,8,11)</f>
        <v>45149</v>
      </c>
      <c r="E9" s="14">
        <f ca="1">DATE(YEAR(TODAY())+4,8,21)</f>
        <v>45159</v>
      </c>
      <c r="F9" s="14">
        <f ca="1">DATE(YEAR(TODAY())+4,9,14)</f>
        <v>45183</v>
      </c>
      <c r="G9" s="14">
        <f ca="1">DATE(YEAR(TODAY())+4,9,25)</f>
        <v>45194</v>
      </c>
      <c r="H9">
        <v>250</v>
      </c>
      <c r="I9">
        <v>255</v>
      </c>
      <c r="J9">
        <f ca="1">DAYS360(ProjektOplysninger[[#This Row],[ANSLÅET START]],ProjektOplysninger[[#This Row],[ANSLÅET AFSLUTNING]],FALSE)</f>
        <v>10</v>
      </c>
      <c r="K9">
        <f ca="1">DAYS360(ProjektOplysninger[[#This Row],[FAKTISK START]],ProjektOplysninger[[#This Row],[FAKTISK AFSLUTNING]],FALSE)</f>
        <v>11</v>
      </c>
      <c r="L9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Row],[ANSLÅET ARBEJDE]]</f>
        <v>9000</v>
      </c>
      <c r="M9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Row],[ANSLÅET ARBEJDE]]</f>
        <v>3000</v>
      </c>
      <c r="N9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Row],[ANSLÅET ARBEJDE]]</f>
        <v>0</v>
      </c>
      <c r="O9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Row],[ANSLÅET ARBEJDE]]</f>
        <v>0</v>
      </c>
      <c r="P9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Row],[ANSLÅET ARBEJDE]]</f>
        <v>12000</v>
      </c>
      <c r="Q9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Row],[ANSLÅET ARBEJDE]]</f>
        <v>1500</v>
      </c>
      <c r="R9" s="24">
        <f>INDEX(Parametre[],MATCH(ProjektOplysninger[[#This Row],[PROJEKTTYPE]],Parametre[PROJEKTTYPE],0),MATCH(ProjektOplysninger[[#Headers],[KONTOADMINISTRATOR]],Parametre[#Headers],0))*INDEX(PROJEKTPARAMETRE!$B$12:$H$12,1,MATCH(ProjektOplysninger[[#Headers],[KONTOADMINISTRATOR]],Parametre[#Headers],0))*ProjektOplysninger[[#This Row],[FAKTISK ARBEJDE]]</f>
        <v>9180</v>
      </c>
      <c r="S9" s="24">
        <f>INDEX(Parametre[],MATCH(ProjektOplysninger[[#This Row],[PROJEKTTYPE]],Parametre[PROJEKTTYPE],0),MATCH(ProjektOplysninger[[#Headers],[PROJEKTLEDER]],Parametre[#Headers],0))*INDEX(PROJEKTPARAMETRE!$B$12:$H$12,1,MATCH(ProjektOplysninger[[#Headers],[PROJEKTLEDER]],Parametre[#Headers],0))*ProjektOplysninger[[#This Row],[FAKTISK ARBEJDE]]</f>
        <v>3060</v>
      </c>
      <c r="T9" s="24">
        <f>INDEX(Parametre[],MATCH(ProjektOplysninger[[#This Row],[PROJEKTTYPE]],Parametre[PROJEKTTYPE],0),MATCH(ProjektOplysninger[[#Headers],[STRATEGILEDER]],Parametre[#Headers],0))*INDEX(PROJEKTPARAMETRE!$B$12:$H$12,1,MATCH(ProjektOplysninger[[#Headers],[STRATEGILEDER]],Parametre[#Headers],0))*ProjektOplysninger[[#This Row],[FAKTISK ARBEJDE]]</f>
        <v>0</v>
      </c>
      <c r="U9" s="24">
        <f>INDEX(Parametre[],MATCH(ProjektOplysninger[[#This Row],[PROJEKTTYPE]],Parametre[PROJEKTTYPE],0),MATCH(ProjektOplysninger[[#Headers],[DESIGNSPECIALIST]],Parametre[#Headers],0))*INDEX(PROJEKTPARAMETRE!$B$12:$H$12,1,MATCH(ProjektOplysninger[[#Headers],[DESIGNSPECIALIST]],Parametre[#Headers],0))*ProjektOplysninger[[#This Row],[FAKTISK ARBEJDE]]</f>
        <v>0</v>
      </c>
      <c r="V9" s="24">
        <f>INDEX(Parametre[],MATCH(ProjektOplysninger[[#This Row],[PROJEKTTYPE]],Parametre[PROJEKTTYPE],0),MATCH(ProjektOplysninger[[#Headers],[PERSONALE VED BEGIVENHED]],Parametre[#Headers],0))*INDEX(PROJEKTPARAMETRE!$B$12:$H$12,1,MATCH(ProjektOplysninger[[#Headers],[PERSONALE VED BEGIVENHED]],Parametre[#Headers],0))*ProjektOplysninger[[#This Row],[FAKTISK ARBEJDE]]</f>
        <v>12240</v>
      </c>
      <c r="W9" s="24">
        <f>INDEX(Parametre[],MATCH(ProjektOplysninger[[#This Row],[PROJEKTTYPE]],Parametre[PROJEKTTYPE],0),MATCH(ProjektOplysninger[[#Headers],[ADMINISTRATIONSMEDARBEJDERE]],Parametre[#Headers],0))*INDEX(PROJEKTPARAMETRE!$B$12:$H$12,1,MATCH(ProjektOplysninger[[#Headers],[ADMINISTRATIONSMEDARBEJDERE]],Parametre[#Headers],0))*ProjektOplysninger[[#This Row],[FAKTISK ARBEJDE]]</f>
        <v>1530</v>
      </c>
    </row>
    <row r="10" spans="1:23" x14ac:dyDescent="0.2">
      <c r="B10" s="1" t="s">
        <v>72</v>
      </c>
      <c r="H10" s="1">
        <f>SUBTOTAL(109,ProjektOplysninger[ANSLÅET ARBEJDE])</f>
        <v>1500</v>
      </c>
      <c r="I10" s="1">
        <f>SUBTOTAL(109,ProjektOplysninger[FAKTISK ARBEJDE])</f>
        <v>1510</v>
      </c>
      <c r="J10" s="1">
        <f ca="1">SUBTOTAL(109,ProjektOplysninger[ANSLÅET VARIGHED])</f>
        <v>225</v>
      </c>
      <c r="K10" s="1">
        <f ca="1">SUBTOTAL(109,ProjektOplysninger[FAKTISK VARIGHED])</f>
        <v>597</v>
      </c>
    </row>
  </sheetData>
  <dataValidations count="1">
    <dataValidation type="list" allowBlank="1" showInputMessage="1" showErrorMessage="1" sqref="C5:C9" xr:uid="{00000000-0002-0000-0100-000000000000}">
      <formula1>Projekttype</formula1>
    </dataValidation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N27"/>
  <sheetViews>
    <sheetView showGridLines="0" zoomScaleNormal="100" workbookViewId="0"/>
  </sheetViews>
  <sheetFormatPr defaultColWidth="9.140625" defaultRowHeight="14.25" x14ac:dyDescent="0.2"/>
  <cols>
    <col min="1" max="1" width="1.7109375" style="11" customWidth="1"/>
    <col min="2" max="2" width="15.5703125" style="1" bestFit="1" customWidth="1"/>
    <col min="3" max="3" width="21.85546875" style="1" bestFit="1" customWidth="1"/>
    <col min="4" max="4" width="13.85546875" style="1" bestFit="1" customWidth="1"/>
    <col min="5" max="5" width="14.7109375" style="1" bestFit="1" customWidth="1"/>
    <col min="6" max="6" width="16.42578125" style="1" bestFit="1" customWidth="1"/>
    <col min="7" max="7" width="14.7109375" style="1" bestFit="1" customWidth="1"/>
    <col min="8" max="8" width="30.85546875" style="1" bestFit="1" customWidth="1"/>
    <col min="9" max="9" width="21.85546875" style="1" bestFit="1" customWidth="1"/>
    <col min="10" max="10" width="13.85546875" style="1" bestFit="1" customWidth="1"/>
    <col min="11" max="11" width="14.7109375" style="1" bestFit="1" customWidth="1"/>
    <col min="12" max="12" width="16.42578125" style="1" bestFit="1" customWidth="1"/>
    <col min="13" max="13" width="18.42578125" style="1" bestFit="1" customWidth="1"/>
    <col min="14" max="14" width="30.85546875" style="1" bestFit="1" customWidth="1"/>
    <col min="15" max="15" width="2.7109375" style="1" customWidth="1"/>
    <col min="16" max="16384" width="9.140625" style="1"/>
  </cols>
  <sheetData>
    <row r="1" spans="1:14" ht="35.450000000000003" customHeight="1" x14ac:dyDescent="0.35">
      <c r="A1" s="11" t="s">
        <v>58</v>
      </c>
      <c r="B1" s="2" t="str">
        <f>PROJEKTPARAMETRE!B1</f>
        <v>Firmanavn</v>
      </c>
      <c r="C1" s="2"/>
      <c r="D1" s="2"/>
      <c r="E1" s="2"/>
      <c r="F1" s="2"/>
      <c r="G1" s="2"/>
      <c r="H1" s="2"/>
      <c r="I1" s="2"/>
      <c r="J1" s="2"/>
      <c r="K1" s="2"/>
    </row>
    <row r="2" spans="1:14" ht="19.5" x14ac:dyDescent="0.25">
      <c r="A2" s="11" t="s">
        <v>8</v>
      </c>
      <c r="B2" s="3" t="s">
        <v>15</v>
      </c>
      <c r="C2" s="3"/>
      <c r="D2" s="3"/>
      <c r="E2" s="3"/>
      <c r="F2" s="3"/>
      <c r="G2" s="3"/>
      <c r="H2" s="3"/>
      <c r="I2" s="3"/>
      <c r="J2" s="3"/>
      <c r="K2" s="3"/>
    </row>
    <row r="3" spans="1:14" s="15" customFormat="1" ht="29.25" customHeight="1" x14ac:dyDescent="0.2">
      <c r="A3" s="18" t="s">
        <v>9</v>
      </c>
      <c r="B3" s="16" t="str">
        <f>PROJEKTPARAMETRE!B3</f>
        <v>Firmanavn Confidential</v>
      </c>
      <c r="C3" s="16"/>
      <c r="D3" s="16"/>
      <c r="E3" s="16"/>
      <c r="F3" s="16"/>
      <c r="G3" s="16"/>
      <c r="H3" s="16"/>
      <c r="I3" s="16"/>
      <c r="J3" s="16"/>
      <c r="K3" s="16"/>
    </row>
    <row r="4" spans="1:14" s="10" customFormat="1" ht="38.25" x14ac:dyDescent="0.2">
      <c r="A4" s="11" t="s">
        <v>59</v>
      </c>
      <c r="B4" s="23" t="s">
        <v>38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73</v>
      </c>
      <c r="N4" s="9" t="s">
        <v>71</v>
      </c>
    </row>
    <row r="5" spans="1:14" x14ac:dyDescent="0.2">
      <c r="B5" t="s">
        <v>39</v>
      </c>
      <c r="C5" s="25">
        <v>7200</v>
      </c>
      <c r="D5" s="25">
        <v>2400</v>
      </c>
      <c r="E5" s="25">
        <v>18000</v>
      </c>
      <c r="F5" s="25">
        <v>0</v>
      </c>
      <c r="G5" s="25">
        <v>0</v>
      </c>
      <c r="H5" s="25">
        <v>1200</v>
      </c>
      <c r="I5" s="25">
        <v>7920</v>
      </c>
      <c r="J5" s="25">
        <v>2640</v>
      </c>
      <c r="K5" s="25">
        <v>19800</v>
      </c>
      <c r="L5" s="25">
        <v>0</v>
      </c>
      <c r="M5" s="25">
        <v>0</v>
      </c>
      <c r="N5" s="25">
        <v>1320</v>
      </c>
    </row>
    <row r="6" spans="1:14" x14ac:dyDescent="0.2">
      <c r="B6" t="s">
        <v>40</v>
      </c>
      <c r="C6" s="25">
        <v>14400</v>
      </c>
      <c r="D6" s="25">
        <v>24000</v>
      </c>
      <c r="E6" s="25">
        <v>6000</v>
      </c>
      <c r="F6" s="25">
        <v>4000</v>
      </c>
      <c r="G6" s="25">
        <v>0</v>
      </c>
      <c r="H6" s="25">
        <v>2400</v>
      </c>
      <c r="I6" s="25">
        <v>14040</v>
      </c>
      <c r="J6" s="25">
        <v>23400</v>
      </c>
      <c r="K6" s="25">
        <v>5850</v>
      </c>
      <c r="L6" s="25">
        <v>3900</v>
      </c>
      <c r="M6" s="25">
        <v>0</v>
      </c>
      <c r="N6" s="25">
        <v>2340</v>
      </c>
    </row>
    <row r="7" spans="1:14" x14ac:dyDescent="0.2">
      <c r="B7" t="s">
        <v>41</v>
      </c>
      <c r="C7" s="25">
        <v>18000</v>
      </c>
      <c r="D7" s="25">
        <v>12000</v>
      </c>
      <c r="E7" s="25">
        <v>0</v>
      </c>
      <c r="F7" s="25">
        <v>25000</v>
      </c>
      <c r="G7" s="25">
        <v>0</v>
      </c>
      <c r="H7" s="25">
        <v>3000</v>
      </c>
      <c r="I7" s="25">
        <v>18000</v>
      </c>
      <c r="J7" s="25">
        <v>12000</v>
      </c>
      <c r="K7" s="25">
        <v>0</v>
      </c>
      <c r="L7" s="25">
        <v>25000</v>
      </c>
      <c r="M7" s="25">
        <v>0</v>
      </c>
      <c r="N7" s="25">
        <v>3000</v>
      </c>
    </row>
    <row r="8" spans="1:14" x14ac:dyDescent="0.2">
      <c r="B8" t="s">
        <v>42</v>
      </c>
      <c r="C8" s="25">
        <v>5400</v>
      </c>
      <c r="D8" s="25">
        <v>10800</v>
      </c>
      <c r="E8" s="25">
        <v>0</v>
      </c>
      <c r="F8" s="25">
        <v>0</v>
      </c>
      <c r="G8" s="25">
        <v>1200</v>
      </c>
      <c r="H8" s="25">
        <v>900</v>
      </c>
      <c r="I8" s="25">
        <v>5220</v>
      </c>
      <c r="J8" s="25">
        <v>10440</v>
      </c>
      <c r="K8" s="25">
        <v>0</v>
      </c>
      <c r="L8" s="25">
        <v>0</v>
      </c>
      <c r="M8" s="25">
        <v>1160</v>
      </c>
      <c r="N8" s="25">
        <v>870</v>
      </c>
    </row>
    <row r="9" spans="1:14" x14ac:dyDescent="0.2">
      <c r="B9" t="s">
        <v>43</v>
      </c>
      <c r="C9" s="25">
        <v>9000</v>
      </c>
      <c r="D9" s="25">
        <v>3000</v>
      </c>
      <c r="E9" s="25">
        <v>0</v>
      </c>
      <c r="F9" s="25">
        <v>0</v>
      </c>
      <c r="G9" s="25">
        <v>12000</v>
      </c>
      <c r="H9" s="25">
        <v>1500</v>
      </c>
      <c r="I9" s="25">
        <v>9180</v>
      </c>
      <c r="J9" s="25">
        <v>3060</v>
      </c>
      <c r="K9" s="25">
        <v>0</v>
      </c>
      <c r="L9" s="25">
        <v>0</v>
      </c>
      <c r="M9" s="25">
        <v>12240</v>
      </c>
      <c r="N9" s="25">
        <v>1530</v>
      </c>
    </row>
    <row r="10" spans="1:14" x14ac:dyDescent="0.2">
      <c r="B10" t="s">
        <v>60</v>
      </c>
      <c r="C10" s="25">
        <v>54000</v>
      </c>
      <c r="D10" s="25">
        <v>52200</v>
      </c>
      <c r="E10" s="25">
        <v>24000</v>
      </c>
      <c r="F10" s="25">
        <v>29000</v>
      </c>
      <c r="G10" s="25">
        <v>13200</v>
      </c>
      <c r="H10" s="25">
        <v>9000</v>
      </c>
      <c r="I10" s="25">
        <v>54360</v>
      </c>
      <c r="J10" s="25">
        <v>51540</v>
      </c>
      <c r="K10" s="25">
        <v>25650</v>
      </c>
      <c r="L10" s="25">
        <v>28900</v>
      </c>
      <c r="M10" s="25">
        <v>13400</v>
      </c>
      <c r="N10" s="25">
        <v>9060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pageMargins left="0.7" right="0.7" top="0.75" bottom="0.75" header="0.3" footer="0.3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START</vt:lpstr>
      <vt:lpstr>PROJEKTPARAMETRE</vt:lpstr>
      <vt:lpstr>PROJEKTOPLYSNINGER</vt:lpstr>
      <vt:lpstr>PROJEKTTOTALER</vt:lpstr>
      <vt:lpstr>Projekttype</vt:lpstr>
      <vt:lpstr>PROJEKTOPLYSNINGER!Udskriftstitler</vt:lpstr>
      <vt:lpstr>PROJEKTTOTALER!Udskriftstitler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2018-05-24T11:34:13Z</dcterms:created>
  <dcterms:modified xsi:type="dcterms:W3CDTF">2019-02-20T08:21:45Z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