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autoCompressPictures="0"/>
  <bookViews>
    <workbookView xWindow="0" yWindow="0" windowWidth="20490" windowHeight="7515" tabRatio="741"/>
  </bookViews>
  <sheets>
    <sheet name="Jan" sheetId="1" r:id="rId1"/>
    <sheet name="Feb" sheetId="6" r:id="rId2"/>
    <sheet name="Mar" sheetId="7" r:id="rId3"/>
    <sheet name="Apr" sheetId="8" r:id="rId4"/>
    <sheet name="Maj" sheetId="9" r:id="rId5"/>
    <sheet name="Jun" sheetId="10" r:id="rId6"/>
    <sheet name="Jul" sheetId="11" r:id="rId7"/>
    <sheet name="Aug" sheetId="12" r:id="rId8"/>
    <sheet name="Sep" sheetId="13" r:id="rId9"/>
    <sheet name="Okt" sheetId="14" r:id="rId10"/>
    <sheet name="Nov" sheetId="15" r:id="rId11"/>
    <sheet name="Dec" sheetId="16" r:id="rId12"/>
  </sheets>
  <definedNames>
    <definedName name="AprSøn1">DATE(Kalenderår,4,1)-WEEKDAY(DATE(Kalenderår,4,1))+1</definedName>
    <definedName name="AugSøn1">DATE(Kalenderår,8,1)-WEEKDAY(DATE(Kalenderår,8,1))+1</definedName>
    <definedName name="DecSøn1">DATE(Kalenderår,12,1)-WEEKDAY(DATE(Kalenderår,12,1))+1</definedName>
    <definedName name="FebSøn1">DATE(Kalenderår,2,1)-WEEKDAY(DATE(Kalenderår,2,1))+1</definedName>
    <definedName name="JanSøn1">DATE(Kalenderår,1,1)-WEEKDAY(DATE(Kalenderår,1,1))+1</definedName>
    <definedName name="JulSøn1">DATE(Kalenderår,7,1)-WEEKDAY(DATE(Kalenderår,7,1))+1</definedName>
    <definedName name="JunSøn1">DATE(Kalenderår,6,1)-WEEKDAY(DATE(Kalenderår,6,1))+1</definedName>
    <definedName name="Kalenderår">Jan!$N$2</definedName>
    <definedName name="MajSøn1">DATE(Kalenderår,5,1)-WEEKDAY(DATE(Kalenderår,5,1))+1</definedName>
    <definedName name="MarSøn1">DATE(Kalenderår,3,1)-WEEKDAY(DATE(Kalenderår,3,1))+1</definedName>
    <definedName name="NovSøn1">DATE(Kalenderår,11,1)-WEEKDAY(DATE(Kalenderår,11,1))+1</definedName>
    <definedName name="OktSøn1">DATE(Kalenderår,10,1)-WEEKDAY(DATE(Kalenderår,10,1))+1</definedName>
    <definedName name="OpgaveDage" localSheetId="3">Apr!$L$4:$L$33</definedName>
    <definedName name="OpgaveDage" localSheetId="7">Aug!$L$4:$L$33</definedName>
    <definedName name="OpgaveDage" localSheetId="11">Dec!$L$4:$L$33</definedName>
    <definedName name="OpgaveDage" localSheetId="1">Feb!$L$4:$L$33</definedName>
    <definedName name="OpgaveDage" localSheetId="6">Jul!$L$4:$L$33</definedName>
    <definedName name="OpgaveDage" localSheetId="5">Jun!$L$4:$L$33</definedName>
    <definedName name="OpgaveDage" localSheetId="4">Maj!$L$4:$L$33</definedName>
    <definedName name="OpgaveDage" localSheetId="2">Mar!$L$4:$L$33</definedName>
    <definedName name="OpgaveDage" localSheetId="10">Nov!$L$4:$L$33</definedName>
    <definedName name="OpgaveDage" localSheetId="9">Okt!$L$4:$L$33</definedName>
    <definedName name="OpgaveDage" localSheetId="8">Sep!$L$4:$L$33</definedName>
    <definedName name="OpgaveDage">Jan!$L$4:$L$33</definedName>
    <definedName name="SepSøn1">DATE(Kalenderår,9,1)-WEEKDAY(DATE(Kalenderår,9,1))+1</definedName>
    <definedName name="_xlnm.Print_Area" localSheetId="3">Apr!$A$1:$N$33</definedName>
    <definedName name="_xlnm.Print_Area" localSheetId="7">Aug!$A$1:$N$33</definedName>
    <definedName name="_xlnm.Print_Area" localSheetId="11">Dec!$A$1:$N$33</definedName>
    <definedName name="_xlnm.Print_Area" localSheetId="1">Feb!$A$1:$N$33</definedName>
    <definedName name="_xlnm.Print_Area" localSheetId="0">Jan!$A$1:$N$33</definedName>
    <definedName name="_xlnm.Print_Area" localSheetId="6">Jul!$A$1:$N$33</definedName>
    <definedName name="_xlnm.Print_Area" localSheetId="5">Jun!$A$1:$N$33</definedName>
    <definedName name="_xlnm.Print_Area" localSheetId="4">Maj!$A$1:$N$33</definedName>
    <definedName name="_xlnm.Print_Area" localSheetId="2">Mar!$A$1:$N$33</definedName>
    <definedName name="_xlnm.Print_Area" localSheetId="10">Nov!$A$1:$N$33</definedName>
    <definedName name="_xlnm.Print_Area" localSheetId="9">Okt!$A$1:$N$33</definedName>
    <definedName name="_xlnm.Print_Area" localSheetId="8">Sep!$A$1:$N$33</definedName>
    <definedName name="VigtigeDatoerTabel" localSheetId="3">Apr!$L$4:$M$8</definedName>
    <definedName name="VigtigeDatoerTabel" localSheetId="7">Aug!$L$4:$M$8</definedName>
    <definedName name="VigtigeDatoerTabel" localSheetId="11">Dec!$L$4:$M$8</definedName>
    <definedName name="VigtigeDatoerTabel" localSheetId="1">Feb!$L$4:$M$8</definedName>
    <definedName name="VigtigeDatoerTabel" localSheetId="6">Jul!$L$4:$M$8</definedName>
    <definedName name="VigtigeDatoerTabel" localSheetId="5">Jun!$L$4:$M$8</definedName>
    <definedName name="VigtigeDatoerTabel" localSheetId="4">Maj!$L$4:$M$8</definedName>
    <definedName name="VigtigeDatoerTabel" localSheetId="2">Mar!$L$4:$M$8</definedName>
    <definedName name="VigtigeDatoerTabel" localSheetId="10">Nov!$L$4:$M$8</definedName>
    <definedName name="VigtigeDatoerTabel" localSheetId="9">Okt!$L$4:$M$8</definedName>
    <definedName name="VigtigeDatoerTabel" localSheetId="8">Sep!$L$4:$M$8</definedName>
    <definedName name="VigtigeDatoerTabel">Jan!$L$4:$M$8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" i="7" l="1"/>
  <c r="N2" i="8"/>
  <c r="N2" i="9"/>
  <c r="N2" i="10"/>
  <c r="N2" i="11"/>
  <c r="N2" i="12"/>
  <c r="N2" i="13"/>
  <c r="N2" i="14"/>
  <c r="N2" i="15"/>
  <c r="N2" i="16"/>
  <c r="N2" i="6"/>
  <c r="I9" i="8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I6" i="8"/>
  <c r="H6" i="8"/>
  <c r="G6" i="8"/>
  <c r="F6" i="8"/>
  <c r="E6" i="8"/>
  <c r="D6" i="8"/>
  <c r="C6" i="8"/>
  <c r="I5" i="8"/>
  <c r="H5" i="8"/>
  <c r="G5" i="8"/>
  <c r="F5" i="8"/>
  <c r="E5" i="8"/>
  <c r="D5" i="8"/>
  <c r="C5" i="8"/>
  <c r="I4" i="8"/>
  <c r="H4" i="8"/>
  <c r="G4" i="8"/>
  <c r="F4" i="8"/>
  <c r="E4" i="8"/>
  <c r="D4" i="8"/>
  <c r="C4" i="8"/>
  <c r="I9" i="16"/>
  <c r="H9" i="16"/>
  <c r="G9" i="16"/>
  <c r="F9" i="16"/>
  <c r="E9" i="16"/>
  <c r="D9" i="16"/>
  <c r="C9" i="16"/>
  <c r="I8" i="16"/>
  <c r="H8" i="16"/>
  <c r="G8" i="16"/>
  <c r="F8" i="16"/>
  <c r="E8" i="16"/>
  <c r="D8" i="16"/>
  <c r="C8" i="16"/>
  <c r="I7" i="16"/>
  <c r="H7" i="16"/>
  <c r="G7" i="16"/>
  <c r="F7" i="16"/>
  <c r="E7" i="16"/>
  <c r="D7" i="16"/>
  <c r="C7" i="16"/>
  <c r="I6" i="16"/>
  <c r="H6" i="16"/>
  <c r="G6" i="16"/>
  <c r="F6" i="16"/>
  <c r="E6" i="16"/>
  <c r="D6" i="16"/>
  <c r="C6" i="16"/>
  <c r="I5" i="16"/>
  <c r="H5" i="16"/>
  <c r="G5" i="16"/>
  <c r="F5" i="16"/>
  <c r="E5" i="16"/>
  <c r="D5" i="16"/>
  <c r="C5" i="16"/>
  <c r="I4" i="16"/>
  <c r="H4" i="16"/>
  <c r="G4" i="16"/>
  <c r="F4" i="16"/>
  <c r="E4" i="16"/>
  <c r="D4" i="16"/>
  <c r="C4" i="16"/>
  <c r="I9" i="15"/>
  <c r="H9" i="15"/>
  <c r="G9" i="15"/>
  <c r="F9" i="15"/>
  <c r="E9" i="15"/>
  <c r="D9" i="15"/>
  <c r="C9" i="15"/>
  <c r="I8" i="15"/>
  <c r="H8" i="15"/>
  <c r="G8" i="15"/>
  <c r="F8" i="15"/>
  <c r="E8" i="15"/>
  <c r="D8" i="15"/>
  <c r="C8" i="15"/>
  <c r="I7" i="15"/>
  <c r="H7" i="15"/>
  <c r="G7" i="15"/>
  <c r="F7" i="15"/>
  <c r="E7" i="15"/>
  <c r="D7" i="15"/>
  <c r="C7" i="15"/>
  <c r="I6" i="15"/>
  <c r="H6" i="15"/>
  <c r="G6" i="15"/>
  <c r="F6" i="15"/>
  <c r="E6" i="15"/>
  <c r="D6" i="15"/>
  <c r="C6" i="15"/>
  <c r="I5" i="15"/>
  <c r="H5" i="15"/>
  <c r="G5" i="15"/>
  <c r="F5" i="15"/>
  <c r="E5" i="15"/>
  <c r="D5" i="15"/>
  <c r="C5" i="15"/>
  <c r="I4" i="15"/>
  <c r="H4" i="15"/>
  <c r="G4" i="15"/>
  <c r="F4" i="15"/>
  <c r="E4" i="15"/>
  <c r="D4" i="15"/>
  <c r="C4" i="15"/>
  <c r="I9" i="14"/>
  <c r="H9" i="14"/>
  <c r="G9" i="14"/>
  <c r="F9" i="14"/>
  <c r="E9" i="14"/>
  <c r="D9" i="14"/>
  <c r="C9" i="14"/>
  <c r="I8" i="14"/>
  <c r="H8" i="14"/>
  <c r="G8" i="14"/>
  <c r="F8" i="14"/>
  <c r="E8" i="14"/>
  <c r="D8" i="14"/>
  <c r="C8" i="14"/>
  <c r="I7" i="14"/>
  <c r="H7" i="14"/>
  <c r="G7" i="14"/>
  <c r="F7" i="14"/>
  <c r="E7" i="14"/>
  <c r="D7" i="14"/>
  <c r="C7" i="14"/>
  <c r="I6" i="14"/>
  <c r="H6" i="14"/>
  <c r="G6" i="14"/>
  <c r="F6" i="14"/>
  <c r="E6" i="14"/>
  <c r="D6" i="14"/>
  <c r="C6" i="14"/>
  <c r="I5" i="14"/>
  <c r="H5" i="14"/>
  <c r="G5" i="14"/>
  <c r="F5" i="14"/>
  <c r="E5" i="14"/>
  <c r="D5" i="14"/>
  <c r="C5" i="14"/>
  <c r="I4" i="14"/>
  <c r="H4" i="14"/>
  <c r="G4" i="14"/>
  <c r="F4" i="14"/>
  <c r="E4" i="14"/>
  <c r="D4" i="14"/>
  <c r="C4" i="14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D6" i="13"/>
  <c r="C6" i="13"/>
  <c r="I5" i="13"/>
  <c r="H5" i="13"/>
  <c r="G5" i="13"/>
  <c r="F5" i="13"/>
  <c r="E5" i="13"/>
  <c r="D5" i="13"/>
  <c r="C5" i="13"/>
  <c r="I4" i="13"/>
  <c r="H4" i="13"/>
  <c r="G4" i="13"/>
  <c r="F4" i="13"/>
  <c r="E4" i="13"/>
  <c r="D4" i="13"/>
  <c r="C4" i="13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I9" i="11"/>
  <c r="H9" i="11"/>
  <c r="G9" i="11"/>
  <c r="F9" i="11"/>
  <c r="E9" i="11"/>
  <c r="D9" i="11"/>
  <c r="C9" i="11"/>
  <c r="I8" i="11"/>
  <c r="H8" i="11"/>
  <c r="G8" i="11"/>
  <c r="F8" i="11"/>
  <c r="E8" i="11"/>
  <c r="D8" i="11"/>
  <c r="C8" i="11"/>
  <c r="I7" i="11"/>
  <c r="H7" i="11"/>
  <c r="G7" i="11"/>
  <c r="F7" i="11"/>
  <c r="E7" i="11"/>
  <c r="D7" i="11"/>
  <c r="C7" i="11"/>
  <c r="I6" i="11"/>
  <c r="H6" i="11"/>
  <c r="G6" i="11"/>
  <c r="F6" i="11"/>
  <c r="E6" i="11"/>
  <c r="D6" i="11"/>
  <c r="C6" i="11"/>
  <c r="I5" i="11"/>
  <c r="H5" i="11"/>
  <c r="G5" i="11"/>
  <c r="F5" i="11"/>
  <c r="E5" i="11"/>
  <c r="D5" i="11"/>
  <c r="C5" i="11"/>
  <c r="I4" i="11"/>
  <c r="H4" i="11"/>
  <c r="G4" i="11"/>
  <c r="F4" i="11"/>
  <c r="E4" i="11"/>
  <c r="D4" i="11"/>
  <c r="C4" i="11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I7" i="10"/>
  <c r="H7" i="10"/>
  <c r="G7" i="10"/>
  <c r="F7" i="10"/>
  <c r="E7" i="10"/>
  <c r="D7" i="10"/>
  <c r="C7" i="10"/>
  <c r="I6" i="10"/>
  <c r="H6" i="10"/>
  <c r="G6" i="10"/>
  <c r="F6" i="10"/>
  <c r="E6" i="10"/>
  <c r="D6" i="10"/>
  <c r="C6" i="10"/>
  <c r="I5" i="10"/>
  <c r="H5" i="10"/>
  <c r="G5" i="10"/>
  <c r="F5" i="10"/>
  <c r="E5" i="10"/>
  <c r="D5" i="10"/>
  <c r="C5" i="10"/>
  <c r="I4" i="10"/>
  <c r="H4" i="10"/>
  <c r="G4" i="10"/>
  <c r="F4" i="10"/>
  <c r="E4" i="10"/>
  <c r="D4" i="10"/>
  <c r="C4" i="10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  <c r="I6" i="9"/>
  <c r="H6" i="9"/>
  <c r="G6" i="9"/>
  <c r="F6" i="9"/>
  <c r="E6" i="9"/>
  <c r="D6" i="9"/>
  <c r="C6" i="9"/>
  <c r="I5" i="9"/>
  <c r="H5" i="9"/>
  <c r="G5" i="9"/>
  <c r="F5" i="9"/>
  <c r="E5" i="9"/>
  <c r="D5" i="9"/>
  <c r="C5" i="9"/>
  <c r="I4" i="9"/>
  <c r="H4" i="9"/>
  <c r="G4" i="9"/>
  <c r="F4" i="9"/>
  <c r="E4" i="9"/>
  <c r="D4" i="9"/>
  <c r="C4" i="9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6" i="7"/>
  <c r="H6" i="7"/>
  <c r="G6" i="7"/>
  <c r="F6" i="7"/>
  <c r="E6" i="7"/>
  <c r="D6" i="7"/>
  <c r="C6" i="7"/>
  <c r="I5" i="7"/>
  <c r="H5" i="7"/>
  <c r="G5" i="7"/>
  <c r="F5" i="7"/>
  <c r="E5" i="7"/>
  <c r="D5" i="7"/>
  <c r="C5" i="7"/>
  <c r="I4" i="7"/>
  <c r="H4" i="7"/>
  <c r="G4" i="7"/>
  <c r="F4" i="7"/>
  <c r="E4" i="7"/>
  <c r="D4" i="7"/>
  <c r="C4" i="7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H4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<sst xmlns="http://schemas.openxmlformats.org/spreadsheetml/2006/main" count="495" uniqueCount="36">
  <si>
    <t>JAN</t>
  </si>
  <si>
    <t>M</t>
  </si>
  <si>
    <t>T</t>
  </si>
  <si>
    <t>F</t>
  </si>
  <si>
    <t>S</t>
  </si>
  <si>
    <t>8:00</t>
  </si>
  <si>
    <t>9:00</t>
  </si>
  <si>
    <t>10:00</t>
  </si>
  <si>
    <t>FEB</t>
  </si>
  <si>
    <t>MAR</t>
  </si>
  <si>
    <t>APR</t>
  </si>
  <si>
    <t>JUN</t>
  </si>
  <si>
    <t>JUL</t>
  </si>
  <si>
    <t>AUG</t>
  </si>
  <si>
    <t>SEP</t>
  </si>
  <si>
    <t>NOV</t>
  </si>
  <si>
    <t>DEC</t>
  </si>
  <si>
    <t>OPGAVER</t>
  </si>
  <si>
    <t>MAN</t>
  </si>
  <si>
    <t>TIR</t>
  </si>
  <si>
    <t>ONS</t>
  </si>
  <si>
    <t>TOR</t>
  </si>
  <si>
    <t>FRE</t>
  </si>
  <si>
    <t>MAJ</t>
  </si>
  <si>
    <t>Fransk: Aflevere første udkast til opgave</t>
  </si>
  <si>
    <t>Fransk</t>
  </si>
  <si>
    <t>Kunsthistorie</t>
  </si>
  <si>
    <t>Matematik</t>
  </si>
  <si>
    <t>Engelsk</t>
  </si>
  <si>
    <t>Programmering</t>
  </si>
  <si>
    <t>&lt; Angiv kalenderår i N2.</t>
  </si>
  <si>
    <t>UGESKEMA</t>
  </si>
  <si>
    <t>O</t>
  </si>
  <si>
    <t>L</t>
  </si>
  <si>
    <t>OKT</t>
  </si>
  <si>
    <t>Kunsthistorie: Prøve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</si>
</sst>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hh:mm;@"/>
  </numFmts>
  <fonts count="20" x14ac:knownFonts="1">
    <font>
      <sz val="10"/>
      <color theme="1"/>
      <name val="Arial"/>
      <family val="2"/>
      <scheme val="minor"/>
    </font>
    <font>
      <sz val="12"/>
      <color rgb="FF002060"/>
      <name val="Arial"/>
      <family val="2"/>
      <scheme val="minor"/>
    </font>
    <font>
      <sz val="8"/>
      <name val="Arial"/>
      <family val="2"/>
      <scheme val="minor"/>
    </font>
    <font>
      <sz val="12"/>
      <color theme="4"/>
      <name val="Arial"/>
      <family val="2"/>
      <scheme val="major"/>
    </font>
    <font>
      <sz val="10"/>
      <color theme="1"/>
      <name val="Arial"/>
      <family val="2"/>
      <scheme val="major"/>
    </font>
    <font>
      <b/>
      <sz val="12"/>
      <color theme="4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b/>
      <sz val="8.5"/>
      <color theme="1"/>
      <name val="Arial"/>
      <family val="2"/>
      <scheme val="minor"/>
    </font>
    <font>
      <sz val="8.5"/>
      <color theme="1"/>
      <name val="Arial"/>
      <family val="2"/>
      <scheme val="minor"/>
    </font>
    <font>
      <b/>
      <sz val="8.5"/>
      <color theme="1"/>
      <name val="Arial"/>
      <family val="2"/>
      <scheme val="major"/>
    </font>
    <font>
      <sz val="10"/>
      <color theme="1" tint="0.249977111117893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17"/>
      <color theme="4"/>
      <name val="Arial"/>
      <family val="2"/>
      <scheme val="minor"/>
    </font>
    <font>
      <b/>
      <sz val="24"/>
      <color theme="4"/>
      <name val="Arial"/>
      <family val="2"/>
      <scheme val="minor"/>
    </font>
    <font>
      <b/>
      <sz val="26"/>
      <color theme="4"/>
      <name val="Arial"/>
      <family val="2"/>
      <scheme val="major"/>
    </font>
    <font>
      <b/>
      <sz val="10"/>
      <color rgb="FF39B5D4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 style="thin">
        <color theme="4" tint="0.79985961485641044"/>
      </right>
      <top style="thin">
        <color theme="4" tint="0.79985961485641044"/>
      </top>
      <bottom/>
      <diagonal/>
    </border>
    <border>
      <left/>
      <right style="thin">
        <color theme="4" tint="0.79985961485641044"/>
      </right>
      <top/>
      <bottom style="thin">
        <color theme="4" tint="0.79989013336588644"/>
      </bottom>
      <diagonal/>
    </border>
  </borders>
  <cellStyleXfs count="6">
    <xf numFmtId="0" fontId="0" fillId="0" borderId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Protection="0">
      <alignment textRotation="90"/>
    </xf>
  </cellStyleXfs>
  <cellXfs count="81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indent="1"/>
    </xf>
    <xf numFmtId="0" fontId="0" fillId="0" borderId="8" xfId="0" applyFont="1" applyBorder="1"/>
    <xf numFmtId="0" fontId="0" fillId="0" borderId="15" xfId="0" applyFont="1" applyBorder="1"/>
    <xf numFmtId="0" fontId="10" fillId="3" borderId="20" xfId="0" applyFont="1" applyFill="1" applyBorder="1" applyAlignment="1">
      <alignment horizontal="left" vertical="top" indent="1"/>
    </xf>
    <xf numFmtId="0" fontId="10" fillId="3" borderId="10" xfId="0" applyFont="1" applyFill="1" applyBorder="1" applyAlignment="1">
      <alignment horizontal="left" vertical="top" indent="1"/>
    </xf>
    <xf numFmtId="164" fontId="1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textRotation="90"/>
    </xf>
    <xf numFmtId="0" fontId="6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textRotation="90"/>
    </xf>
    <xf numFmtId="164" fontId="1" fillId="0" borderId="13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0" fillId="0" borderId="39" xfId="0" applyFont="1" applyBorder="1"/>
    <xf numFmtId="0" fontId="0" fillId="0" borderId="40" xfId="0" applyFont="1" applyBorder="1"/>
    <xf numFmtId="164" fontId="15" fillId="0" borderId="13" xfId="0" applyNumberFormat="1" applyFont="1" applyFill="1" applyBorder="1" applyAlignment="1">
      <alignment horizontal="left" vertical="center" wrapText="1" indent="1"/>
    </xf>
    <xf numFmtId="0" fontId="0" fillId="0" borderId="14" xfId="0" applyFont="1" applyBorder="1"/>
    <xf numFmtId="0" fontId="19" fillId="0" borderId="0" xfId="0" applyFont="1" applyAlignment="1">
      <alignment vertical="center" wrapText="1"/>
    </xf>
    <xf numFmtId="0" fontId="17" fillId="0" borderId="6" xfId="2" applyFill="1" applyBorder="1" applyAlignment="1">
      <alignment vertical="top"/>
    </xf>
    <xf numFmtId="0" fontId="17" fillId="0" borderId="41" xfId="2" applyFill="1" applyBorder="1" applyAlignment="1">
      <alignment vertical="top"/>
    </xf>
    <xf numFmtId="0" fontId="17" fillId="0" borderId="6" xfId="2" applyFill="1" applyBorder="1" applyAlignment="1">
      <alignment vertical="center" textRotation="90"/>
    </xf>
    <xf numFmtId="0" fontId="17" fillId="0" borderId="41" xfId="2" applyFill="1" applyBorder="1" applyAlignment="1">
      <alignment vertical="center" textRotation="90"/>
    </xf>
    <xf numFmtId="0" fontId="0" fillId="0" borderId="38" xfId="0" applyFont="1" applyBorder="1"/>
    <xf numFmtId="165" fontId="9" fillId="3" borderId="7" xfId="0" applyNumberFormat="1" applyFont="1" applyFill="1" applyBorder="1" applyAlignment="1">
      <alignment horizontal="left" indent="1"/>
    </xf>
    <xf numFmtId="165" fontId="9" fillId="3" borderId="23" xfId="0" applyNumberFormat="1" applyFont="1" applyFill="1" applyBorder="1" applyAlignment="1">
      <alignment horizontal="left" indent="1"/>
    </xf>
    <xf numFmtId="0" fontId="7" fillId="0" borderId="35" xfId="5" applyBorder="1" applyAlignment="1">
      <alignment vertical="top"/>
    </xf>
    <xf numFmtId="0" fontId="7" fillId="0" borderId="28" xfId="5" applyBorder="1" applyAlignment="1">
      <alignment vertical="top"/>
    </xf>
    <xf numFmtId="0" fontId="12" fillId="0" borderId="2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8" fillId="2" borderId="9" xfId="0" applyFont="1" applyFill="1" applyBorder="1" applyAlignment="1">
      <alignment horizontal="left" indent="1"/>
    </xf>
    <xf numFmtId="0" fontId="8" fillId="2" borderId="15" xfId="0" applyFont="1" applyFill="1" applyBorder="1" applyAlignment="1">
      <alignment horizontal="left" indent="1"/>
    </xf>
    <xf numFmtId="0" fontId="8" fillId="2" borderId="5" xfId="0" applyFont="1" applyFill="1" applyBorder="1" applyAlignment="1">
      <alignment horizontal="left" indent="1"/>
    </xf>
    <xf numFmtId="0" fontId="16" fillId="0" borderId="32" xfId="3" applyBorder="1" applyAlignment="1">
      <alignment horizontal="left" vertical="center" indent="2"/>
    </xf>
    <xf numFmtId="0" fontId="16" fillId="0" borderId="33" xfId="3" applyBorder="1" applyAlignment="1">
      <alignment horizontal="left" vertical="center" indent="2"/>
    </xf>
    <xf numFmtId="0" fontId="16" fillId="0" borderId="29" xfId="3" applyBorder="1" applyAlignment="1">
      <alignment horizontal="left" vertical="center" indent="2"/>
    </xf>
    <xf numFmtId="0" fontId="16" fillId="0" borderId="30" xfId="3" applyBorder="1" applyAlignment="1">
      <alignment horizontal="left" vertical="center" indent="2"/>
    </xf>
    <xf numFmtId="0" fontId="7" fillId="0" borderId="32" xfId="5" applyBorder="1" applyAlignment="1">
      <alignment vertical="top"/>
    </xf>
    <xf numFmtId="0" fontId="12" fillId="0" borderId="36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6" fillId="0" borderId="34" xfId="3" applyFill="1" applyBorder="1" applyAlignment="1">
      <alignment horizontal="center" vertical="center"/>
    </xf>
    <xf numFmtId="0" fontId="16" fillId="0" borderId="31" xfId="3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 vertical="top" indent="1"/>
    </xf>
    <xf numFmtId="0" fontId="10" fillId="3" borderId="22" xfId="0" applyFont="1" applyFill="1" applyBorder="1" applyAlignment="1">
      <alignment horizontal="left" vertical="top" indent="1"/>
    </xf>
    <xf numFmtId="165" fontId="9" fillId="3" borderId="9" xfId="0" applyNumberFormat="1" applyFont="1" applyFill="1" applyBorder="1" applyAlignment="1">
      <alignment horizontal="left" indent="1"/>
    </xf>
    <xf numFmtId="165" fontId="9" fillId="3" borderId="5" xfId="0" applyNumberFormat="1" applyFont="1" applyFill="1" applyBorder="1" applyAlignment="1">
      <alignment horizontal="left" indent="1"/>
    </xf>
    <xf numFmtId="165" fontId="9" fillId="3" borderId="24" xfId="0" applyNumberFormat="1" applyFont="1" applyFill="1" applyBorder="1" applyAlignment="1">
      <alignment horizontal="left" indent="1"/>
    </xf>
    <xf numFmtId="165" fontId="9" fillId="3" borderId="25" xfId="0" applyNumberFormat="1" applyFont="1" applyFill="1" applyBorder="1" applyAlignment="1">
      <alignment horizontal="left" indent="1"/>
    </xf>
    <xf numFmtId="0" fontId="10" fillId="3" borderId="11" xfId="0" applyFont="1" applyFill="1" applyBorder="1" applyAlignment="1">
      <alignment horizontal="left" vertical="top" indent="1"/>
    </xf>
    <xf numFmtId="0" fontId="10" fillId="3" borderId="12" xfId="0" applyFont="1" applyFill="1" applyBorder="1" applyAlignment="1">
      <alignment horizontal="left" vertical="top" indent="1"/>
    </xf>
    <xf numFmtId="164" fontId="10" fillId="3" borderId="21" xfId="0" applyNumberFormat="1" applyFont="1" applyFill="1" applyBorder="1" applyAlignment="1">
      <alignment horizontal="left" vertical="top" indent="1"/>
    </xf>
    <xf numFmtId="164" fontId="10" fillId="3" borderId="26" xfId="0" applyNumberFormat="1" applyFont="1" applyFill="1" applyBorder="1" applyAlignment="1">
      <alignment horizontal="left" vertical="top" indent="1"/>
    </xf>
    <xf numFmtId="165" fontId="9" fillId="3" borderId="27" xfId="0" applyNumberFormat="1" applyFont="1" applyFill="1" applyBorder="1" applyAlignment="1">
      <alignment horizontal="left" indent="1"/>
    </xf>
    <xf numFmtId="165" fontId="9" fillId="3" borderId="15" xfId="0" applyNumberFormat="1" applyFont="1" applyFill="1" applyBorder="1" applyAlignment="1">
      <alignment horizontal="left" indent="1"/>
    </xf>
    <xf numFmtId="165" fontId="9" fillId="3" borderId="9" xfId="0" applyNumberFormat="1" applyFont="1" applyFill="1" applyBorder="1" applyAlignment="1">
      <alignment horizontal="left" vertical="center" indent="1"/>
    </xf>
    <xf numFmtId="165" fontId="9" fillId="3" borderId="15" xfId="0" applyNumberFormat="1" applyFont="1" applyFill="1" applyBorder="1" applyAlignment="1">
      <alignment horizontal="left" vertical="center" indent="1"/>
    </xf>
    <xf numFmtId="0" fontId="11" fillId="3" borderId="21" xfId="0" applyFont="1" applyFill="1" applyBorder="1" applyAlignment="1">
      <alignment horizontal="left" vertical="top" indent="1"/>
    </xf>
    <xf numFmtId="0" fontId="11" fillId="3" borderId="26" xfId="0" applyFont="1" applyFill="1" applyBorder="1" applyAlignment="1">
      <alignment horizontal="left" vertical="top" indent="1"/>
    </xf>
    <xf numFmtId="0" fontId="10" fillId="3" borderId="26" xfId="0" applyFont="1" applyFill="1" applyBorder="1" applyAlignment="1">
      <alignment horizontal="left" vertical="top" indent="1"/>
    </xf>
    <xf numFmtId="0" fontId="17" fillId="0" borderId="6" xfId="2" applyFill="1" applyBorder="1" applyAlignment="1">
      <alignment vertical="center"/>
    </xf>
    <xf numFmtId="0" fontId="19" fillId="0" borderId="0" xfId="0" applyFont="1" applyAlignment="1">
      <alignment vertical="center" wrapText="1"/>
    </xf>
    <xf numFmtId="0" fontId="7" fillId="0" borderId="6" xfId="4" applyBorder="1" applyAlignment="1">
      <alignment horizontal="left" vertical="center"/>
    </xf>
    <xf numFmtId="0" fontId="7" fillId="0" borderId="0" xfId="4" applyAlignment="1">
      <alignment horizontal="left" vertical="center"/>
    </xf>
    <xf numFmtId="0" fontId="7" fillId="0" borderId="15" xfId="4" applyBorder="1" applyAlignment="1">
      <alignment horizontal="left" vertical="center"/>
    </xf>
    <xf numFmtId="164" fontId="13" fillId="0" borderId="4" xfId="0" applyNumberFormat="1" applyFont="1" applyFill="1" applyBorder="1" applyAlignment="1">
      <alignment horizontal="left"/>
    </xf>
    <xf numFmtId="164" fontId="13" fillId="0" borderId="19" xfId="0" applyNumberFormat="1" applyFont="1" applyFill="1" applyBorder="1" applyAlignment="1">
      <alignment horizontal="left"/>
    </xf>
    <xf numFmtId="165" fontId="11" fillId="3" borderId="9" xfId="0" applyNumberFormat="1" applyFont="1" applyFill="1" applyBorder="1" applyAlignment="1">
      <alignment horizontal="left" indent="1"/>
    </xf>
    <xf numFmtId="165" fontId="11" fillId="3" borderId="15" xfId="0" applyNumberFormat="1" applyFont="1" applyFill="1" applyBorder="1" applyAlignment="1">
      <alignment horizontal="left" indent="1"/>
    </xf>
    <xf numFmtId="164" fontId="10" fillId="3" borderId="11" xfId="0" applyNumberFormat="1" applyFont="1" applyFill="1" applyBorder="1" applyAlignment="1">
      <alignment horizontal="left" vertical="top" indent="1"/>
    </xf>
    <xf numFmtId="164" fontId="10" fillId="3" borderId="14" xfId="0" applyNumberFormat="1" applyFont="1" applyFill="1" applyBorder="1" applyAlignment="1">
      <alignment horizontal="left" vertical="top" indent="1"/>
    </xf>
    <xf numFmtId="0" fontId="16" fillId="0" borderId="42" xfId="3" applyBorder="1" applyAlignment="1">
      <alignment horizontal="center" vertical="center"/>
    </xf>
    <xf numFmtId="0" fontId="16" fillId="0" borderId="43" xfId="3" applyBorder="1" applyAlignment="1">
      <alignment horizontal="center" vertical="center"/>
    </xf>
  </cellXfs>
  <cellStyles count="6">
    <cellStyle name="Normal" xfId="0" builtinId="0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el" xfId="1" builtinId="15" customBuiltin="1"/>
  </cellStyles>
  <dxfs count="119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118"/>
      <tableStyleElement type="headerRow" dxfId="117"/>
      <tableStyleElement type="totalRow" dxfId="116"/>
      <tableStyleElement type="firstColumn" dxfId="115"/>
      <tableStyleElement type="lastColumn" dxfId="114"/>
      <tableStyleElement type="firstRowStripe" dxfId="113"/>
      <tableStyleElement type="firstColumnStripe" dxfId="112"/>
    </tableStyle>
    <tableStyle name="TableStyleLight9 2" pivot="0" count="4">
      <tableStyleElement type="wholeTable" dxfId="111"/>
      <tableStyleElement type="headerRow" dxfId="110"/>
      <tableStyleElement type="totalRow" dxfId="109"/>
      <tableStyleElement type="firstColumn" dxfId="10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AO33"/>
  <sheetViews>
    <sheetView showGridLines="0" tabSelected="1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" width="30.85546875" customWidth="1"/>
    <col min="17" max="22" width="8.85546875" customWidth="1"/>
    <col min="42" max="16384" width="8.7109375" style="1"/>
  </cols>
  <sheetData>
    <row r="1" spans="1:17" ht="11.25" customHeight="1" x14ac:dyDescent="0.2"/>
    <row r="2" spans="1:17" ht="18" customHeight="1" x14ac:dyDescent="0.2">
      <c r="A2" s="4"/>
      <c r="B2" s="28"/>
      <c r="C2" s="19"/>
      <c r="D2" s="19"/>
      <c r="E2" s="19"/>
      <c r="F2" s="19"/>
      <c r="G2" s="19"/>
      <c r="H2" s="19"/>
      <c r="I2" s="19"/>
      <c r="J2" s="20"/>
      <c r="K2" s="42" t="s">
        <v>17</v>
      </c>
      <c r="L2" s="43">
        <v>2013</v>
      </c>
      <c r="M2" s="43"/>
      <c r="N2" s="49">
        <v>2015</v>
      </c>
      <c r="P2" s="69" t="s">
        <v>30</v>
      </c>
      <c r="Q2" s="23"/>
    </row>
    <row r="3" spans="1:17" ht="21" customHeight="1" x14ac:dyDescent="0.2">
      <c r="A3" s="4"/>
      <c r="B3" s="68" t="s">
        <v>0</v>
      </c>
      <c r="C3" s="2" t="s">
        <v>1</v>
      </c>
      <c r="D3" s="2" t="s">
        <v>2</v>
      </c>
      <c r="E3" s="2" t="s">
        <v>32</v>
      </c>
      <c r="F3" s="2" t="s">
        <v>2</v>
      </c>
      <c r="G3" s="2" t="s">
        <v>3</v>
      </c>
      <c r="H3" s="2" t="s">
        <v>33</v>
      </c>
      <c r="I3" s="2" t="s">
        <v>4</v>
      </c>
      <c r="J3" s="5"/>
      <c r="K3" s="44"/>
      <c r="L3" s="45"/>
      <c r="M3" s="45"/>
      <c r="N3" s="50"/>
      <c r="P3" s="69"/>
      <c r="Q3" s="23"/>
    </row>
    <row r="4" spans="1:17" ht="18" customHeight="1" x14ac:dyDescent="0.2">
      <c r="A4" s="4"/>
      <c r="B4" s="68"/>
      <c r="C4" s="8">
        <f>IF(DAY(JanSøn1)=1,JanSøn1-6,JanSøn1+1)</f>
        <v>42002</v>
      </c>
      <c r="D4" s="8">
        <f>IF(DAY(JanSøn1)=1,JanSøn1-5,JanSøn1+2)</f>
        <v>42003</v>
      </c>
      <c r="E4" s="8">
        <f>IF(DAY(JanSøn1)=1,JanSøn1-4,JanSøn1+3)</f>
        <v>42004</v>
      </c>
      <c r="F4" s="8">
        <f>IF(DAY(JanSøn1)=1,JanSøn1-3,JanSøn1+4)</f>
        <v>42005</v>
      </c>
      <c r="G4" s="8">
        <f>IF(DAY(JanSøn1)=1,JanSøn1-2,JanSøn1+5)</f>
        <v>42006</v>
      </c>
      <c r="H4" s="8">
        <f>IF(DAY(JanSøn1)=1,JanSøn1-1,JanSøn1+6)</f>
        <v>42007</v>
      </c>
      <c r="I4" s="8">
        <f>IF(DAY(JanSøn1)=1,JanSøn1,JanSøn1+7)</f>
        <v>42008</v>
      </c>
      <c r="J4" s="5"/>
      <c r="K4" s="46" t="s">
        <v>18</v>
      </c>
      <c r="L4" s="14">
        <v>5</v>
      </c>
      <c r="M4" s="47" t="s">
        <v>24</v>
      </c>
      <c r="N4" s="48"/>
      <c r="P4" s="23"/>
      <c r="Q4" s="23"/>
    </row>
    <row r="5" spans="1:17" ht="18" customHeight="1" x14ac:dyDescent="0.2">
      <c r="A5" s="4"/>
      <c r="B5" s="24"/>
      <c r="C5" s="8">
        <f>IF(DAY(JanSøn1)=1,JanSøn1+1,JanSøn1+8)</f>
        <v>42009</v>
      </c>
      <c r="D5" s="8">
        <f>IF(DAY(JanSøn1)=1,JanSøn1+2,JanSøn1+9)</f>
        <v>42010</v>
      </c>
      <c r="E5" s="8">
        <f>IF(DAY(JanSøn1)=1,JanSøn1+3,JanSøn1+10)</f>
        <v>42011</v>
      </c>
      <c r="F5" s="8">
        <f>IF(DAY(JanSøn1)=1,JanSøn1+4,JanSøn1+11)</f>
        <v>42012</v>
      </c>
      <c r="G5" s="8">
        <f>IF(DAY(JanSøn1)=1,JanSøn1+5,JanSøn1+12)</f>
        <v>42013</v>
      </c>
      <c r="H5" s="8">
        <f>IF(DAY(JanSøn1)=1,JanSøn1+6,JanSøn1+13)</f>
        <v>42014</v>
      </c>
      <c r="I5" s="8">
        <f>IF(DAY(JanSøn1)=1,JanSøn1+7,JanSøn1+14)</f>
        <v>42015</v>
      </c>
      <c r="J5" s="5"/>
      <c r="K5" s="32"/>
      <c r="L5" s="15"/>
      <c r="M5" s="33"/>
      <c r="N5" s="34"/>
      <c r="P5" s="23"/>
      <c r="Q5" s="23"/>
    </row>
    <row r="6" spans="1:17" ht="18" customHeight="1" x14ac:dyDescent="0.2">
      <c r="A6" s="4"/>
      <c r="B6" s="24"/>
      <c r="C6" s="8">
        <f>IF(DAY(JanSøn1)=1,JanSøn1+8,JanSøn1+15)</f>
        <v>42016</v>
      </c>
      <c r="D6" s="8">
        <f>IF(DAY(JanSøn1)=1,JanSøn1+9,JanSøn1+16)</f>
        <v>42017</v>
      </c>
      <c r="E6" s="8">
        <f>IF(DAY(JanSøn1)=1,JanSøn1+10,JanSøn1+17)</f>
        <v>42018</v>
      </c>
      <c r="F6" s="8">
        <f>IF(DAY(JanSøn1)=1,JanSøn1+11,JanSøn1+18)</f>
        <v>42019</v>
      </c>
      <c r="G6" s="8">
        <f>IF(DAY(JanSøn1)=1,JanSøn1+12,JanSøn1+19)</f>
        <v>42020</v>
      </c>
      <c r="H6" s="8">
        <f>IF(DAY(JanSøn1)=1,JanSøn1+13,JanSøn1+20)</f>
        <v>42021</v>
      </c>
      <c r="I6" s="8">
        <f>IF(DAY(JanSøn1)=1,JanSøn1+14,JanSøn1+21)</f>
        <v>42022</v>
      </c>
      <c r="J6" s="5"/>
      <c r="K6" s="32"/>
      <c r="L6" s="15"/>
      <c r="M6" s="33"/>
      <c r="N6" s="34"/>
    </row>
    <row r="7" spans="1:17" ht="18" customHeight="1" x14ac:dyDescent="0.2">
      <c r="A7" s="4"/>
      <c r="B7" s="24"/>
      <c r="C7" s="8">
        <f>IF(DAY(JanSøn1)=1,JanSøn1+15,JanSøn1+22)</f>
        <v>42023</v>
      </c>
      <c r="D7" s="8">
        <f>IF(DAY(JanSøn1)=1,JanSøn1+16,JanSøn1+23)</f>
        <v>42024</v>
      </c>
      <c r="E7" s="8">
        <f>IF(DAY(JanSøn1)=1,JanSøn1+17,JanSøn1+24)</f>
        <v>42025</v>
      </c>
      <c r="F7" s="8">
        <f>IF(DAY(JanSøn1)=1,JanSøn1+18,JanSøn1+25)</f>
        <v>42026</v>
      </c>
      <c r="G7" s="8">
        <f>IF(DAY(JanSøn1)=1,JanSøn1+19,JanSøn1+26)</f>
        <v>42027</v>
      </c>
      <c r="H7" s="8">
        <f>IF(DAY(JanSøn1)=1,JanSøn1+20,JanSøn1+27)</f>
        <v>42028</v>
      </c>
      <c r="I7" s="8">
        <f>IF(DAY(JanSøn1)=1,JanSøn1+21,JanSøn1+28)</f>
        <v>42029</v>
      </c>
      <c r="J7" s="5"/>
      <c r="K7" s="9"/>
      <c r="L7" s="15"/>
      <c r="M7" s="33"/>
      <c r="N7" s="34"/>
    </row>
    <row r="8" spans="1:17" ht="18.75" customHeight="1" x14ac:dyDescent="0.2">
      <c r="A8" s="4"/>
      <c r="B8" s="24"/>
      <c r="C8" s="8">
        <f>IF(DAY(JanSøn1)=1,JanSøn1+22,JanSøn1+29)</f>
        <v>42030</v>
      </c>
      <c r="D8" s="8">
        <f>IF(DAY(JanSøn1)=1,JanSøn1+23,JanSøn1+30)</f>
        <v>42031</v>
      </c>
      <c r="E8" s="8">
        <f>IF(DAY(JanSøn1)=1,JanSøn1+24,JanSøn1+31)</f>
        <v>42032</v>
      </c>
      <c r="F8" s="8">
        <f>IF(DAY(JanSøn1)=1,JanSøn1+25,JanSøn1+32)</f>
        <v>42033</v>
      </c>
      <c r="G8" s="8">
        <f>IF(DAY(JanSøn1)=1,JanSøn1+26,JanSøn1+33)</f>
        <v>42034</v>
      </c>
      <c r="H8" s="8">
        <f>IF(DAY(JanSøn1)=1,JanSøn1+27,JanSøn1+34)</f>
        <v>42035</v>
      </c>
      <c r="I8" s="8">
        <f>IF(DAY(JanSøn1)=1,JanSøn1+28,JanSøn1+35)</f>
        <v>42036</v>
      </c>
      <c r="J8" s="5"/>
      <c r="K8" s="9"/>
      <c r="L8" s="15"/>
      <c r="M8" s="33"/>
      <c r="N8" s="34"/>
    </row>
    <row r="9" spans="1:17" ht="18" customHeight="1" x14ac:dyDescent="0.2">
      <c r="A9" s="4"/>
      <c r="B9" s="24"/>
      <c r="C9" s="8">
        <f>IF(DAY(JanSøn1)=1,JanSøn1+29,JanSøn1+36)</f>
        <v>42037</v>
      </c>
      <c r="D9" s="8">
        <f>IF(DAY(JanSøn1)=1,JanSøn1+30,JanSøn1+37)</f>
        <v>42038</v>
      </c>
      <c r="E9" s="8">
        <f>IF(DAY(JanSøn1)=1,JanSøn1+31,JanSøn1+38)</f>
        <v>42039</v>
      </c>
      <c r="F9" s="8">
        <f>IF(DAY(JanSøn1)=1,JanSøn1+32,JanSøn1+39)</f>
        <v>42040</v>
      </c>
      <c r="G9" s="8">
        <f>IF(DAY(JanSøn1)=1,JanSøn1+33,JanSøn1+40)</f>
        <v>42041</v>
      </c>
      <c r="H9" s="8">
        <f>IF(DAY(JanSøn1)=1,JanSøn1+34,JanSøn1+41)</f>
        <v>42042</v>
      </c>
      <c r="I9" s="8">
        <f>IF(DAY(JanSøn1)=1,JanSøn1+35,JanSøn1+42)</f>
        <v>42043</v>
      </c>
      <c r="J9" s="5"/>
      <c r="K9" s="10"/>
      <c r="L9" s="16"/>
      <c r="M9" s="35"/>
      <c r="N9" s="36"/>
    </row>
    <row r="10" spans="1:17" ht="18" customHeight="1" x14ac:dyDescent="0.2">
      <c r="A10" s="4"/>
      <c r="B10" s="25"/>
      <c r="C10" s="21"/>
      <c r="D10" s="21"/>
      <c r="E10" s="21"/>
      <c r="F10" s="21"/>
      <c r="G10" s="21"/>
      <c r="H10" s="21"/>
      <c r="I10" s="21"/>
      <c r="J10" s="22"/>
      <c r="K10" s="31" t="s">
        <v>19</v>
      </c>
      <c r="L10" s="14">
        <v>20</v>
      </c>
      <c r="M10" s="37" t="s">
        <v>35</v>
      </c>
      <c r="N10" s="38"/>
    </row>
    <row r="11" spans="1:17" ht="18" customHeight="1" x14ac:dyDescent="0.2">
      <c r="A11" s="4"/>
      <c r="B11" s="70" t="s">
        <v>31</v>
      </c>
      <c r="C11" s="71"/>
      <c r="D11" s="71"/>
      <c r="E11" s="71"/>
      <c r="F11" s="71"/>
      <c r="G11" s="71"/>
      <c r="H11" s="71"/>
      <c r="I11" s="71"/>
      <c r="J11" s="72"/>
      <c r="K11" s="32"/>
      <c r="L11" s="15"/>
      <c r="M11" s="33"/>
      <c r="N11" s="34"/>
    </row>
    <row r="12" spans="1:17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5"/>
      <c r="M12" s="33"/>
      <c r="N12" s="34"/>
    </row>
    <row r="13" spans="1:17" ht="18" customHeight="1" x14ac:dyDescent="0.2">
      <c r="B13" s="3" t="s">
        <v>18</v>
      </c>
      <c r="C13" s="39" t="s">
        <v>19</v>
      </c>
      <c r="D13" s="41"/>
      <c r="E13" s="39" t="s">
        <v>20</v>
      </c>
      <c r="F13" s="41"/>
      <c r="G13" s="39" t="s">
        <v>21</v>
      </c>
      <c r="H13" s="41"/>
      <c r="I13" s="39" t="s">
        <v>22</v>
      </c>
      <c r="J13" s="40"/>
      <c r="K13" s="9"/>
      <c r="L13" s="15"/>
      <c r="M13" s="33"/>
      <c r="N13" s="34"/>
    </row>
    <row r="14" spans="1:17" ht="18" customHeight="1" x14ac:dyDescent="0.2">
      <c r="B14" s="29" t="s">
        <v>5</v>
      </c>
      <c r="C14" s="53"/>
      <c r="D14" s="54"/>
      <c r="E14" s="53" t="s">
        <v>5</v>
      </c>
      <c r="F14" s="54"/>
      <c r="G14" s="53"/>
      <c r="H14" s="54"/>
      <c r="I14" s="53" t="s">
        <v>5</v>
      </c>
      <c r="J14" s="62"/>
      <c r="K14" s="9"/>
      <c r="L14" s="15"/>
      <c r="M14" s="33"/>
      <c r="N14" s="34"/>
    </row>
    <row r="15" spans="1:17" ht="18" customHeight="1" x14ac:dyDescent="0.2">
      <c r="B15" s="6" t="s">
        <v>25</v>
      </c>
      <c r="C15" s="51"/>
      <c r="D15" s="52"/>
      <c r="E15" s="51" t="s">
        <v>25</v>
      </c>
      <c r="F15" s="52"/>
      <c r="G15" s="51"/>
      <c r="H15" s="52"/>
      <c r="I15" s="59" t="s">
        <v>25</v>
      </c>
      <c r="J15" s="60"/>
      <c r="K15" s="11"/>
      <c r="L15" s="17"/>
      <c r="M15" s="35"/>
      <c r="N15" s="36"/>
    </row>
    <row r="16" spans="1:17" ht="18" customHeight="1" x14ac:dyDescent="0.2">
      <c r="B16" s="29"/>
      <c r="C16" s="53" t="s">
        <v>6</v>
      </c>
      <c r="D16" s="54"/>
      <c r="E16" s="53"/>
      <c r="F16" s="54"/>
      <c r="G16" s="53" t="s">
        <v>6</v>
      </c>
      <c r="H16" s="54"/>
      <c r="I16" s="63"/>
      <c r="J16" s="64"/>
      <c r="K16" s="31" t="s">
        <v>20</v>
      </c>
      <c r="L16" s="14"/>
      <c r="M16" s="37"/>
      <c r="N16" s="38"/>
    </row>
    <row r="17" spans="2:14" ht="18" customHeight="1" x14ac:dyDescent="0.2">
      <c r="B17" s="6"/>
      <c r="C17" s="51" t="s">
        <v>26</v>
      </c>
      <c r="D17" s="52"/>
      <c r="E17" s="51"/>
      <c r="F17" s="52"/>
      <c r="G17" s="51" t="s">
        <v>26</v>
      </c>
      <c r="H17" s="52"/>
      <c r="I17" s="59"/>
      <c r="J17" s="60"/>
      <c r="K17" s="32"/>
      <c r="L17" s="15"/>
      <c r="M17" s="33"/>
      <c r="N17" s="34"/>
    </row>
    <row r="18" spans="2:14" ht="18" customHeight="1" x14ac:dyDescent="0.2">
      <c r="B18" s="30" t="s">
        <v>7</v>
      </c>
      <c r="C18" s="55"/>
      <c r="D18" s="56"/>
      <c r="E18" s="55" t="s">
        <v>7</v>
      </c>
      <c r="F18" s="56"/>
      <c r="G18" s="55"/>
      <c r="H18" s="56"/>
      <c r="I18" s="55" t="s">
        <v>7</v>
      </c>
      <c r="J18" s="61"/>
      <c r="K18" s="32"/>
      <c r="L18" s="15"/>
      <c r="M18" s="33"/>
      <c r="N18" s="34"/>
    </row>
    <row r="19" spans="2:14" ht="18" customHeight="1" x14ac:dyDescent="0.2">
      <c r="B19" s="6" t="s">
        <v>27</v>
      </c>
      <c r="C19" s="51"/>
      <c r="D19" s="52"/>
      <c r="E19" s="51" t="s">
        <v>27</v>
      </c>
      <c r="F19" s="52"/>
      <c r="G19" s="51"/>
      <c r="H19" s="52"/>
      <c r="I19" s="59" t="s">
        <v>27</v>
      </c>
      <c r="J19" s="60"/>
      <c r="K19" s="9"/>
      <c r="L19" s="15"/>
      <c r="M19" s="33"/>
      <c r="N19" s="34"/>
    </row>
    <row r="20" spans="2:14" ht="18" customHeight="1" x14ac:dyDescent="0.2">
      <c r="B20" s="29"/>
      <c r="C20" s="53"/>
      <c r="D20" s="54"/>
      <c r="E20" s="53"/>
      <c r="F20" s="54"/>
      <c r="G20" s="53"/>
      <c r="H20" s="54"/>
      <c r="I20" s="53"/>
      <c r="J20" s="62"/>
      <c r="K20" s="9"/>
      <c r="L20" s="15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1"/>
      <c r="L21" s="17"/>
      <c r="M21" s="35"/>
      <c r="N21" s="36"/>
    </row>
    <row r="22" spans="2:14" ht="18" customHeight="1" x14ac:dyDescent="0.2">
      <c r="B22" s="29"/>
      <c r="C22" s="53"/>
      <c r="D22" s="54"/>
      <c r="E22" s="53"/>
      <c r="F22" s="54"/>
      <c r="G22" s="53"/>
      <c r="H22" s="54"/>
      <c r="I22" s="53"/>
      <c r="J22" s="62"/>
      <c r="K22" s="31" t="s">
        <v>21</v>
      </c>
      <c r="L22" s="14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5"/>
      <c r="M23" s="33"/>
      <c r="N23" s="34"/>
    </row>
    <row r="24" spans="2:14" ht="18" customHeight="1" x14ac:dyDescent="0.2">
      <c r="B24" s="29"/>
      <c r="C24" s="53"/>
      <c r="D24" s="54"/>
      <c r="E24" s="53"/>
      <c r="F24" s="54"/>
      <c r="G24" s="53"/>
      <c r="H24" s="54"/>
      <c r="I24" s="53"/>
      <c r="J24" s="62"/>
      <c r="K24" s="32"/>
      <c r="L24" s="15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5"/>
      <c r="M25" s="33"/>
      <c r="N25" s="34"/>
    </row>
    <row r="26" spans="2:14" ht="18" customHeight="1" x14ac:dyDescent="0.2">
      <c r="B26" s="29">
        <v>0.58333333333333337</v>
      </c>
      <c r="C26" s="53"/>
      <c r="D26" s="54"/>
      <c r="E26" s="53">
        <v>0.58333333333333337</v>
      </c>
      <c r="F26" s="54"/>
      <c r="G26" s="53"/>
      <c r="H26" s="54"/>
      <c r="I26" s="53">
        <v>0.58333333333333337</v>
      </c>
      <c r="J26" s="62"/>
      <c r="K26" s="9"/>
      <c r="L26" s="15"/>
      <c r="M26" s="33"/>
      <c r="N26" s="34"/>
    </row>
    <row r="27" spans="2:14" ht="18" customHeight="1" x14ac:dyDescent="0.2">
      <c r="B27" s="6" t="s">
        <v>28</v>
      </c>
      <c r="C27" s="51"/>
      <c r="D27" s="52"/>
      <c r="E27" s="51" t="s">
        <v>28</v>
      </c>
      <c r="F27" s="52"/>
      <c r="G27" s="51"/>
      <c r="H27" s="52"/>
      <c r="I27" s="59" t="s">
        <v>28</v>
      </c>
      <c r="J27" s="60"/>
      <c r="K27" s="11"/>
      <c r="L27" s="17"/>
      <c r="M27" s="35"/>
      <c r="N27" s="36"/>
    </row>
    <row r="28" spans="2:14" ht="18" customHeight="1" x14ac:dyDescent="0.2">
      <c r="B28" s="29"/>
      <c r="C28" s="53"/>
      <c r="D28" s="54"/>
      <c r="E28" s="53"/>
      <c r="F28" s="54"/>
      <c r="G28" s="53"/>
      <c r="H28" s="54"/>
      <c r="I28" s="53"/>
      <c r="J28" s="62"/>
      <c r="K28" s="31" t="s">
        <v>22</v>
      </c>
      <c r="L28" s="14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5"/>
      <c r="M29" s="33"/>
      <c r="N29" s="34"/>
    </row>
    <row r="30" spans="2:14" ht="18" customHeight="1" x14ac:dyDescent="0.2">
      <c r="B30" s="29"/>
      <c r="C30" s="53">
        <v>0.66666666666666663</v>
      </c>
      <c r="D30" s="54"/>
      <c r="E30" s="53"/>
      <c r="F30" s="54"/>
      <c r="G30" s="53">
        <v>0.66666666666666663</v>
      </c>
      <c r="H30" s="54"/>
      <c r="I30" s="75"/>
      <c r="J30" s="76"/>
      <c r="K30" s="32"/>
      <c r="L30" s="15"/>
      <c r="M30" s="33"/>
      <c r="N30" s="34"/>
    </row>
    <row r="31" spans="2:14" ht="18" customHeight="1" x14ac:dyDescent="0.2">
      <c r="B31" s="6"/>
      <c r="C31" s="51" t="s">
        <v>29</v>
      </c>
      <c r="D31" s="52"/>
      <c r="E31" s="51"/>
      <c r="F31" s="52"/>
      <c r="G31" s="51" t="s">
        <v>29</v>
      </c>
      <c r="H31" s="52"/>
      <c r="I31" s="51"/>
      <c r="J31" s="67"/>
      <c r="K31" s="12"/>
      <c r="L31" s="15"/>
      <c r="M31" s="33"/>
      <c r="N31" s="34"/>
    </row>
    <row r="32" spans="2:14" ht="18" customHeight="1" x14ac:dyDescent="0.2">
      <c r="B32" s="29"/>
      <c r="C32" s="53"/>
      <c r="D32" s="54"/>
      <c r="E32" s="53"/>
      <c r="F32" s="54"/>
      <c r="G32" s="53"/>
      <c r="H32" s="54"/>
      <c r="I32" s="63"/>
      <c r="J32" s="64"/>
      <c r="K32" s="12"/>
      <c r="L32" s="15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3"/>
      <c r="L33" s="18"/>
      <c r="M33" s="73"/>
      <c r="N33" s="74"/>
    </row>
  </sheetData>
  <mergeCells count="124">
    <mergeCell ref="B3:B4"/>
    <mergeCell ref="P2:P3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  <mergeCell ref="I25:J25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C19:D19"/>
    <mergeCell ref="C20:D20"/>
    <mergeCell ref="C21:D21"/>
    <mergeCell ref="C22:D22"/>
    <mergeCell ref="C23:D23"/>
    <mergeCell ref="C14:D14"/>
    <mergeCell ref="C15:D15"/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</mergeCells>
  <phoneticPr fontId="2" type="noConversion"/>
  <conditionalFormatting sqref="C4:H4">
    <cfRule type="expression" dxfId="107" priority="9" stopIfTrue="1">
      <formula>DAY(C4)&gt;8</formula>
    </cfRule>
  </conditionalFormatting>
  <conditionalFormatting sqref="C8:I10">
    <cfRule type="expression" dxfId="106" priority="8" stopIfTrue="1">
      <formula>AND(DAY(C8)&gt;=1,DAY(C8)&lt;=15)</formula>
    </cfRule>
  </conditionalFormatting>
  <conditionalFormatting sqref="C4:I9">
    <cfRule type="expression" dxfId="105" priority="20">
      <formula>VLOOKUP(DAY(C4),OpgaveDage,1,FALSE)=DAY(C4)</formula>
    </cfRule>
  </conditionalFormatting>
  <conditionalFormatting sqref="B14:J14 B16:J16 B18:J18 B17 I17:J17 B20:J26 B28:J30 B32:J33">
    <cfRule type="expression" dxfId="104" priority="6">
      <formula>B14&lt;&gt;""</formula>
    </cfRule>
  </conditionalFormatting>
  <conditionalFormatting sqref="B15:J15">
    <cfRule type="expression" dxfId="103" priority="5">
      <formula>B15&lt;&gt;""</formula>
    </cfRule>
  </conditionalFormatting>
  <conditionalFormatting sqref="C17:H17">
    <cfRule type="expression" dxfId="102" priority="4">
      <formula>C17&lt;&gt;""</formula>
    </cfRule>
  </conditionalFormatting>
  <conditionalFormatting sqref="B19:J19">
    <cfRule type="expression" dxfId="101" priority="3">
      <formula>B19&lt;&gt;""</formula>
    </cfRule>
  </conditionalFormatting>
  <conditionalFormatting sqref="B27:J27">
    <cfRule type="expression" dxfId="100" priority="2">
      <formula>B27&lt;&gt;""</formula>
    </cfRule>
  </conditionalFormatting>
  <conditionalFormatting sqref="B31:J31">
    <cfRule type="expression" dxfId="99" priority="1">
      <formula>B31&lt;&gt;""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N2"/>
  </dataValidations>
  <printOptions horizontalCentered="1" verticalCentered="1"/>
  <pageMargins left="0.5" right="0.5" top="0.5" bottom="0.5" header="0.3" footer="0.3"/>
  <pageSetup scale="91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8"/>
      <c r="C2" s="19"/>
      <c r="D2" s="19"/>
      <c r="E2" s="19"/>
      <c r="F2" s="19"/>
      <c r="G2" s="19"/>
      <c r="H2" s="19"/>
      <c r="I2" s="19"/>
      <c r="J2" s="20"/>
      <c r="K2" s="42" t="s">
        <v>17</v>
      </c>
      <c r="L2" s="43">
        <v>2013</v>
      </c>
      <c r="M2" s="43"/>
      <c r="N2" s="79">
        <f>Kalenderår</f>
        <v>2015</v>
      </c>
    </row>
    <row r="3" spans="1:14" ht="21" customHeight="1" x14ac:dyDescent="0.2">
      <c r="A3" s="4"/>
      <c r="B3" s="68" t="s">
        <v>34</v>
      </c>
      <c r="C3" s="2" t="s">
        <v>1</v>
      </c>
      <c r="D3" s="2" t="s">
        <v>2</v>
      </c>
      <c r="E3" s="2" t="s">
        <v>32</v>
      </c>
      <c r="F3" s="2" t="s">
        <v>2</v>
      </c>
      <c r="G3" s="2" t="s">
        <v>3</v>
      </c>
      <c r="H3" s="2" t="s">
        <v>33</v>
      </c>
      <c r="I3" s="2" t="s">
        <v>4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8">
        <f>IF(DAY(OktSøn1)=1,OktSøn1-6,OktSøn1+1)</f>
        <v>42275</v>
      </c>
      <c r="D4" s="8">
        <f>IF(DAY(OktSøn1)=1,OktSøn1-5,OktSøn1+2)</f>
        <v>42276</v>
      </c>
      <c r="E4" s="8">
        <f>IF(DAY(OktSøn1)=1,OktSøn1-4,OktSøn1+3)</f>
        <v>42277</v>
      </c>
      <c r="F4" s="8">
        <f>IF(DAY(OktSøn1)=1,OktSøn1-3,OktSøn1+4)</f>
        <v>42278</v>
      </c>
      <c r="G4" s="8">
        <f>IF(DAY(OktSøn1)=1,OktSøn1-2,OktSøn1+5)</f>
        <v>42279</v>
      </c>
      <c r="H4" s="8">
        <f>IF(DAY(OktSøn1)=1,OktSøn1-1,OktSøn1+6)</f>
        <v>42280</v>
      </c>
      <c r="I4" s="8">
        <f>IF(DAY(OktSøn1)=1,OktSøn1,OktSøn1+7)</f>
        <v>42281</v>
      </c>
      <c r="J4" s="5"/>
      <c r="K4" s="46" t="s">
        <v>18</v>
      </c>
      <c r="L4" s="14"/>
      <c r="M4" s="47"/>
      <c r="N4" s="48"/>
    </row>
    <row r="5" spans="1:14" ht="18" customHeight="1" x14ac:dyDescent="0.2">
      <c r="A5" s="4"/>
      <c r="B5" s="26"/>
      <c r="C5" s="8">
        <f>IF(DAY(OktSøn1)=1,OktSøn1+1,OktSøn1+8)</f>
        <v>42282</v>
      </c>
      <c r="D5" s="8">
        <f>IF(DAY(OktSøn1)=1,OktSøn1+2,OktSøn1+9)</f>
        <v>42283</v>
      </c>
      <c r="E5" s="8">
        <f>IF(DAY(OktSøn1)=1,OktSøn1+3,OktSøn1+10)</f>
        <v>42284</v>
      </c>
      <c r="F5" s="8">
        <f>IF(DAY(OktSøn1)=1,OktSøn1+4,OktSøn1+11)</f>
        <v>42285</v>
      </c>
      <c r="G5" s="8">
        <f>IF(DAY(OktSøn1)=1,OktSøn1+5,OktSøn1+12)</f>
        <v>42286</v>
      </c>
      <c r="H5" s="8">
        <f>IF(DAY(OktSøn1)=1,OktSøn1+6,OktSøn1+13)</f>
        <v>42287</v>
      </c>
      <c r="I5" s="8">
        <f>IF(DAY(OktSøn1)=1,OktSøn1+7,OktSøn1+14)</f>
        <v>42288</v>
      </c>
      <c r="J5" s="5"/>
      <c r="K5" s="32"/>
      <c r="L5" s="15"/>
      <c r="M5" s="33"/>
      <c r="N5" s="34"/>
    </row>
    <row r="6" spans="1:14" ht="18" customHeight="1" x14ac:dyDescent="0.2">
      <c r="A6" s="4"/>
      <c r="B6" s="26"/>
      <c r="C6" s="8">
        <f>IF(DAY(OktSøn1)=1,OktSøn1+8,OktSøn1+15)</f>
        <v>42289</v>
      </c>
      <c r="D6" s="8">
        <f>IF(DAY(OktSøn1)=1,OktSøn1+9,OktSøn1+16)</f>
        <v>42290</v>
      </c>
      <c r="E6" s="8">
        <f>IF(DAY(OktSøn1)=1,OktSøn1+10,OktSøn1+17)</f>
        <v>42291</v>
      </c>
      <c r="F6" s="8">
        <f>IF(DAY(OktSøn1)=1,OktSøn1+11,OktSøn1+18)</f>
        <v>42292</v>
      </c>
      <c r="G6" s="8">
        <f>IF(DAY(OktSøn1)=1,OktSøn1+12,OktSøn1+19)</f>
        <v>42293</v>
      </c>
      <c r="H6" s="8">
        <f>IF(DAY(OktSøn1)=1,OktSøn1+13,OktSøn1+20)</f>
        <v>42294</v>
      </c>
      <c r="I6" s="8">
        <f>IF(DAY(OktSøn1)=1,OktSøn1+14,OktSøn1+21)</f>
        <v>42295</v>
      </c>
      <c r="J6" s="5"/>
      <c r="K6" s="32"/>
      <c r="L6" s="15"/>
      <c r="M6" s="33"/>
      <c r="N6" s="34"/>
    </row>
    <row r="7" spans="1:14" ht="18" customHeight="1" x14ac:dyDescent="0.2">
      <c r="A7" s="4"/>
      <c r="B7" s="26"/>
      <c r="C7" s="8">
        <f>IF(DAY(OktSøn1)=1,OktSøn1+15,OktSøn1+22)</f>
        <v>42296</v>
      </c>
      <c r="D7" s="8">
        <f>IF(DAY(OktSøn1)=1,OktSøn1+16,OktSøn1+23)</f>
        <v>42297</v>
      </c>
      <c r="E7" s="8">
        <f>IF(DAY(OktSøn1)=1,OktSøn1+17,OktSøn1+24)</f>
        <v>42298</v>
      </c>
      <c r="F7" s="8">
        <f>IF(DAY(OktSøn1)=1,OktSøn1+18,OktSøn1+25)</f>
        <v>42299</v>
      </c>
      <c r="G7" s="8">
        <f>IF(DAY(OktSøn1)=1,OktSøn1+19,OktSøn1+26)</f>
        <v>42300</v>
      </c>
      <c r="H7" s="8">
        <f>IF(DAY(OktSøn1)=1,OktSøn1+20,OktSøn1+27)</f>
        <v>42301</v>
      </c>
      <c r="I7" s="8">
        <f>IF(DAY(OktSøn1)=1,OktSøn1+21,OktSøn1+28)</f>
        <v>42302</v>
      </c>
      <c r="J7" s="5"/>
      <c r="K7" s="9"/>
      <c r="L7" s="15"/>
      <c r="M7" s="33"/>
      <c r="N7" s="34"/>
    </row>
    <row r="8" spans="1:14" ht="18.75" customHeight="1" x14ac:dyDescent="0.2">
      <c r="A8" s="4"/>
      <c r="B8" s="26"/>
      <c r="C8" s="8">
        <f>IF(DAY(OktSøn1)=1,OktSøn1+22,OktSøn1+29)</f>
        <v>42303</v>
      </c>
      <c r="D8" s="8">
        <f>IF(DAY(OktSøn1)=1,OktSøn1+23,OktSøn1+30)</f>
        <v>42304</v>
      </c>
      <c r="E8" s="8">
        <f>IF(DAY(OktSøn1)=1,OktSøn1+24,OktSøn1+31)</f>
        <v>42305</v>
      </c>
      <c r="F8" s="8">
        <f>IF(DAY(OktSøn1)=1,OktSøn1+25,OktSøn1+32)</f>
        <v>42306</v>
      </c>
      <c r="G8" s="8">
        <f>IF(DAY(OktSøn1)=1,OktSøn1+26,OktSøn1+33)</f>
        <v>42307</v>
      </c>
      <c r="H8" s="8">
        <f>IF(DAY(OktSøn1)=1,OktSøn1+27,OktSøn1+34)</f>
        <v>42308</v>
      </c>
      <c r="I8" s="8">
        <f>IF(DAY(OktSøn1)=1,OktSøn1+28,OktSøn1+35)</f>
        <v>42309</v>
      </c>
      <c r="J8" s="5"/>
      <c r="K8" s="9"/>
      <c r="L8" s="15"/>
      <c r="M8" s="33"/>
      <c r="N8" s="34"/>
    </row>
    <row r="9" spans="1:14" ht="18" customHeight="1" x14ac:dyDescent="0.2">
      <c r="A9" s="4"/>
      <c r="B9" s="26"/>
      <c r="C9" s="8">
        <f>IF(DAY(OktSøn1)=1,OktSøn1+29,OktSøn1+36)</f>
        <v>42310</v>
      </c>
      <c r="D9" s="8">
        <f>IF(DAY(OktSøn1)=1,OktSøn1+30,OktSøn1+37)</f>
        <v>42311</v>
      </c>
      <c r="E9" s="8">
        <f>IF(DAY(OktSøn1)=1,OktSøn1+31,OktSøn1+38)</f>
        <v>42312</v>
      </c>
      <c r="F9" s="8">
        <f>IF(DAY(OktSøn1)=1,OktSøn1+32,OktSøn1+39)</f>
        <v>42313</v>
      </c>
      <c r="G9" s="8">
        <f>IF(DAY(OktSøn1)=1,OktSøn1+33,OktSøn1+40)</f>
        <v>42314</v>
      </c>
      <c r="H9" s="8">
        <f>IF(DAY(OktSøn1)=1,OktSøn1+34,OktSøn1+41)</f>
        <v>42315</v>
      </c>
      <c r="I9" s="8">
        <f>IF(DAY(OktSøn1)=1,OktSøn1+35,OktSøn1+42)</f>
        <v>42316</v>
      </c>
      <c r="J9" s="5"/>
      <c r="K9" s="10"/>
      <c r="L9" s="16"/>
      <c r="M9" s="35"/>
      <c r="N9" s="36"/>
    </row>
    <row r="10" spans="1:14" ht="18" customHeight="1" x14ac:dyDescent="0.2">
      <c r="A10" s="4"/>
      <c r="B10" s="27"/>
      <c r="C10" s="21"/>
      <c r="D10" s="21"/>
      <c r="E10" s="21"/>
      <c r="F10" s="21"/>
      <c r="G10" s="21"/>
      <c r="H10" s="21"/>
      <c r="I10" s="21"/>
      <c r="J10" s="22"/>
      <c r="K10" s="31" t="s">
        <v>19</v>
      </c>
      <c r="L10" s="14"/>
      <c r="M10" s="37"/>
      <c r="N10" s="38"/>
    </row>
    <row r="11" spans="1:14" ht="18" customHeight="1" x14ac:dyDescent="0.2">
      <c r="A11" s="4"/>
      <c r="B11" s="70" t="s">
        <v>31</v>
      </c>
      <c r="C11" s="71"/>
      <c r="D11" s="71"/>
      <c r="E11" s="71"/>
      <c r="F11" s="71"/>
      <c r="G11" s="71"/>
      <c r="H11" s="71"/>
      <c r="I11" s="71"/>
      <c r="J11" s="72"/>
      <c r="K11" s="32"/>
      <c r="L11" s="15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5"/>
      <c r="M12" s="33"/>
      <c r="N12" s="34"/>
    </row>
    <row r="13" spans="1:14" ht="18" customHeight="1" x14ac:dyDescent="0.2">
      <c r="B13" s="3" t="s">
        <v>18</v>
      </c>
      <c r="C13" s="39" t="s">
        <v>19</v>
      </c>
      <c r="D13" s="41"/>
      <c r="E13" s="39" t="s">
        <v>20</v>
      </c>
      <c r="F13" s="41"/>
      <c r="G13" s="39" t="s">
        <v>21</v>
      </c>
      <c r="H13" s="41"/>
      <c r="I13" s="39" t="s">
        <v>22</v>
      </c>
      <c r="J13" s="40"/>
      <c r="K13" s="9"/>
      <c r="L13" s="15"/>
      <c r="M13" s="33"/>
      <c r="N13" s="34"/>
    </row>
    <row r="14" spans="1:14" ht="18" customHeight="1" x14ac:dyDescent="0.2">
      <c r="B14" s="29" t="s">
        <v>5</v>
      </c>
      <c r="C14" s="53"/>
      <c r="D14" s="54"/>
      <c r="E14" s="53" t="s">
        <v>5</v>
      </c>
      <c r="F14" s="54"/>
      <c r="G14" s="53"/>
      <c r="H14" s="54"/>
      <c r="I14" s="53" t="s">
        <v>5</v>
      </c>
      <c r="J14" s="62"/>
      <c r="K14" s="9"/>
      <c r="L14" s="15"/>
      <c r="M14" s="33"/>
      <c r="N14" s="34"/>
    </row>
    <row r="15" spans="1:14" ht="18" customHeight="1" x14ac:dyDescent="0.2">
      <c r="B15" s="6" t="s">
        <v>25</v>
      </c>
      <c r="C15" s="51"/>
      <c r="D15" s="52"/>
      <c r="E15" s="51" t="s">
        <v>25</v>
      </c>
      <c r="F15" s="52"/>
      <c r="G15" s="51"/>
      <c r="H15" s="52"/>
      <c r="I15" s="59" t="s">
        <v>25</v>
      </c>
      <c r="J15" s="60"/>
      <c r="K15" s="11"/>
      <c r="L15" s="17"/>
      <c r="M15" s="35"/>
      <c r="N15" s="36"/>
    </row>
    <row r="16" spans="1:14" ht="18" customHeight="1" x14ac:dyDescent="0.2">
      <c r="B16" s="29"/>
      <c r="C16" s="53" t="s">
        <v>6</v>
      </c>
      <c r="D16" s="54"/>
      <c r="E16" s="53"/>
      <c r="F16" s="54"/>
      <c r="G16" s="53" t="s">
        <v>6</v>
      </c>
      <c r="H16" s="54"/>
      <c r="I16" s="63"/>
      <c r="J16" s="64"/>
      <c r="K16" s="31" t="s">
        <v>20</v>
      </c>
      <c r="L16" s="14"/>
      <c r="M16" s="37"/>
      <c r="N16" s="38"/>
    </row>
    <row r="17" spans="2:14" ht="18" customHeight="1" x14ac:dyDescent="0.2">
      <c r="B17" s="6"/>
      <c r="C17" s="51" t="s">
        <v>26</v>
      </c>
      <c r="D17" s="52"/>
      <c r="E17" s="51"/>
      <c r="F17" s="52"/>
      <c r="G17" s="51" t="s">
        <v>26</v>
      </c>
      <c r="H17" s="52"/>
      <c r="I17" s="59"/>
      <c r="J17" s="60"/>
      <c r="K17" s="32"/>
      <c r="L17" s="15"/>
      <c r="M17" s="33"/>
      <c r="N17" s="34"/>
    </row>
    <row r="18" spans="2:14" ht="18" customHeight="1" x14ac:dyDescent="0.2">
      <c r="B18" s="30" t="s">
        <v>7</v>
      </c>
      <c r="C18" s="55"/>
      <c r="D18" s="56"/>
      <c r="E18" s="55" t="s">
        <v>7</v>
      </c>
      <c r="F18" s="56"/>
      <c r="G18" s="55"/>
      <c r="H18" s="56"/>
      <c r="I18" s="55" t="s">
        <v>7</v>
      </c>
      <c r="J18" s="61"/>
      <c r="K18" s="32"/>
      <c r="L18" s="15"/>
      <c r="M18" s="33"/>
      <c r="N18" s="34"/>
    </row>
    <row r="19" spans="2:14" ht="18" customHeight="1" x14ac:dyDescent="0.2">
      <c r="B19" s="6" t="s">
        <v>27</v>
      </c>
      <c r="C19" s="51"/>
      <c r="D19" s="52"/>
      <c r="E19" s="51" t="s">
        <v>27</v>
      </c>
      <c r="F19" s="52"/>
      <c r="G19" s="51"/>
      <c r="H19" s="52"/>
      <c r="I19" s="59" t="s">
        <v>27</v>
      </c>
      <c r="J19" s="60"/>
      <c r="K19" s="9"/>
      <c r="L19" s="15"/>
      <c r="M19" s="33"/>
      <c r="N19" s="34"/>
    </row>
    <row r="20" spans="2:14" ht="18" customHeight="1" x14ac:dyDescent="0.2">
      <c r="B20" s="29"/>
      <c r="C20" s="53"/>
      <c r="D20" s="54"/>
      <c r="E20" s="53"/>
      <c r="F20" s="54"/>
      <c r="G20" s="53"/>
      <c r="H20" s="54"/>
      <c r="I20" s="53"/>
      <c r="J20" s="62"/>
      <c r="K20" s="9"/>
      <c r="L20" s="15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1"/>
      <c r="L21" s="17"/>
      <c r="M21" s="35"/>
      <c r="N21" s="36"/>
    </row>
    <row r="22" spans="2:14" ht="18" customHeight="1" x14ac:dyDescent="0.2">
      <c r="B22" s="29"/>
      <c r="C22" s="53"/>
      <c r="D22" s="54"/>
      <c r="E22" s="53"/>
      <c r="F22" s="54"/>
      <c r="G22" s="53"/>
      <c r="H22" s="54"/>
      <c r="I22" s="53"/>
      <c r="J22" s="62"/>
      <c r="K22" s="31" t="s">
        <v>21</v>
      </c>
      <c r="L22" s="14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5"/>
      <c r="M23" s="33"/>
      <c r="N23" s="34"/>
    </row>
    <row r="24" spans="2:14" ht="18" customHeight="1" x14ac:dyDescent="0.2">
      <c r="B24" s="29"/>
      <c r="C24" s="53"/>
      <c r="D24" s="54"/>
      <c r="E24" s="53"/>
      <c r="F24" s="54"/>
      <c r="G24" s="53"/>
      <c r="H24" s="54"/>
      <c r="I24" s="53"/>
      <c r="J24" s="62"/>
      <c r="K24" s="32"/>
      <c r="L24" s="15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5"/>
      <c r="M25" s="33"/>
      <c r="N25" s="34"/>
    </row>
    <row r="26" spans="2:14" ht="18" customHeight="1" x14ac:dyDescent="0.2">
      <c r="B26" s="29">
        <v>0.58333333333333337</v>
      </c>
      <c r="C26" s="53"/>
      <c r="D26" s="54"/>
      <c r="E26" s="53">
        <v>0.58333333333333337</v>
      </c>
      <c r="F26" s="54"/>
      <c r="G26" s="53"/>
      <c r="H26" s="54"/>
      <c r="I26" s="53">
        <v>0.58333333333333337</v>
      </c>
      <c r="J26" s="62"/>
      <c r="K26" s="9"/>
      <c r="L26" s="15"/>
      <c r="M26" s="33"/>
      <c r="N26" s="34"/>
    </row>
    <row r="27" spans="2:14" ht="18" customHeight="1" x14ac:dyDescent="0.2">
      <c r="B27" s="6" t="s">
        <v>28</v>
      </c>
      <c r="C27" s="51"/>
      <c r="D27" s="52"/>
      <c r="E27" s="51" t="s">
        <v>28</v>
      </c>
      <c r="F27" s="52"/>
      <c r="G27" s="51"/>
      <c r="H27" s="52"/>
      <c r="I27" s="59" t="s">
        <v>28</v>
      </c>
      <c r="J27" s="60"/>
      <c r="K27" s="11"/>
      <c r="L27" s="17"/>
      <c r="M27" s="35"/>
      <c r="N27" s="36"/>
    </row>
    <row r="28" spans="2:14" ht="18" customHeight="1" x14ac:dyDescent="0.2">
      <c r="B28" s="29"/>
      <c r="C28" s="53"/>
      <c r="D28" s="54"/>
      <c r="E28" s="53"/>
      <c r="F28" s="54"/>
      <c r="G28" s="53"/>
      <c r="H28" s="54"/>
      <c r="I28" s="53"/>
      <c r="J28" s="62"/>
      <c r="K28" s="31" t="s">
        <v>22</v>
      </c>
      <c r="L28" s="14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5"/>
      <c r="M29" s="33"/>
      <c r="N29" s="34"/>
    </row>
    <row r="30" spans="2:14" ht="18" customHeight="1" x14ac:dyDescent="0.2">
      <c r="B30" s="29"/>
      <c r="C30" s="53">
        <v>0.66666666666666663</v>
      </c>
      <c r="D30" s="54"/>
      <c r="E30" s="53"/>
      <c r="F30" s="54"/>
      <c r="G30" s="53">
        <v>0.66666666666666663</v>
      </c>
      <c r="H30" s="54"/>
      <c r="I30" s="75"/>
      <c r="J30" s="76"/>
      <c r="K30" s="32"/>
      <c r="L30" s="15"/>
      <c r="M30" s="33"/>
      <c r="N30" s="34"/>
    </row>
    <row r="31" spans="2:14" ht="18" customHeight="1" x14ac:dyDescent="0.2">
      <c r="B31" s="6"/>
      <c r="C31" s="51" t="s">
        <v>29</v>
      </c>
      <c r="D31" s="52"/>
      <c r="E31" s="51"/>
      <c r="F31" s="52"/>
      <c r="G31" s="51" t="s">
        <v>29</v>
      </c>
      <c r="H31" s="52"/>
      <c r="I31" s="51"/>
      <c r="J31" s="67"/>
      <c r="K31" s="12"/>
      <c r="L31" s="15"/>
      <c r="M31" s="33"/>
      <c r="N31" s="34"/>
    </row>
    <row r="32" spans="2:14" ht="18" customHeight="1" x14ac:dyDescent="0.2">
      <c r="B32" s="29"/>
      <c r="C32" s="53"/>
      <c r="D32" s="54"/>
      <c r="E32" s="53"/>
      <c r="F32" s="54"/>
      <c r="G32" s="53"/>
      <c r="H32" s="54"/>
      <c r="I32" s="63"/>
      <c r="J32" s="64"/>
      <c r="K32" s="12"/>
      <c r="L32" s="15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3"/>
      <c r="L33" s="18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26" priority="9" stopIfTrue="1">
      <formula>DAY(C4)&gt;8</formula>
    </cfRule>
  </conditionalFormatting>
  <conditionalFormatting sqref="C8:I10">
    <cfRule type="expression" dxfId="25" priority="8" stopIfTrue="1">
      <formula>AND(DAY(C8)&gt;=1,DAY(C8)&lt;=15)</formula>
    </cfRule>
  </conditionalFormatting>
  <conditionalFormatting sqref="C4:I9">
    <cfRule type="expression" dxfId="24" priority="10">
      <formula>VLOOKUP(DAY(C4),OpgaveDage,1,FALSE)=DAY(C4)</formula>
    </cfRule>
  </conditionalFormatting>
  <conditionalFormatting sqref="B14:J14 B16:J16 B18:J18 B17 I17:J17 B20:J26 B28:J30 B32:J33">
    <cfRule type="expression" dxfId="23" priority="6">
      <formula>B14&lt;&gt;""</formula>
    </cfRule>
  </conditionalFormatting>
  <conditionalFormatting sqref="B15:J15">
    <cfRule type="expression" dxfId="22" priority="5">
      <formula>B15&lt;&gt;""</formula>
    </cfRule>
  </conditionalFormatting>
  <conditionalFormatting sqref="C17:H17">
    <cfRule type="expression" dxfId="21" priority="4">
      <formula>C17&lt;&gt;""</formula>
    </cfRule>
  </conditionalFormatting>
  <conditionalFormatting sqref="B19:J19">
    <cfRule type="expression" dxfId="20" priority="3">
      <formula>B19&lt;&gt;""</formula>
    </cfRule>
  </conditionalFormatting>
  <conditionalFormatting sqref="B27:J27">
    <cfRule type="expression" dxfId="19" priority="2">
      <formula>B27&lt;&gt;""</formula>
    </cfRule>
  </conditionalFormatting>
  <conditionalFormatting sqref="B31:J31">
    <cfRule type="expression" dxfId="18" priority="1">
      <formula>B31&lt;&gt;""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8"/>
      <c r="C2" s="19"/>
      <c r="D2" s="19"/>
      <c r="E2" s="19"/>
      <c r="F2" s="19"/>
      <c r="G2" s="19"/>
      <c r="H2" s="19"/>
      <c r="I2" s="19"/>
      <c r="J2" s="20"/>
      <c r="K2" s="42" t="s">
        <v>17</v>
      </c>
      <c r="L2" s="43">
        <v>2013</v>
      </c>
      <c r="M2" s="43"/>
      <c r="N2" s="79">
        <f>Kalenderår</f>
        <v>2015</v>
      </c>
    </row>
    <row r="3" spans="1:14" ht="21" customHeight="1" x14ac:dyDescent="0.2">
      <c r="A3" s="4"/>
      <c r="B3" s="68" t="s">
        <v>15</v>
      </c>
      <c r="C3" s="2" t="s">
        <v>1</v>
      </c>
      <c r="D3" s="2" t="s">
        <v>2</v>
      </c>
      <c r="E3" s="2" t="s">
        <v>32</v>
      </c>
      <c r="F3" s="2" t="s">
        <v>2</v>
      </c>
      <c r="G3" s="2" t="s">
        <v>3</v>
      </c>
      <c r="H3" s="2" t="s">
        <v>33</v>
      </c>
      <c r="I3" s="2" t="s">
        <v>4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8">
        <f>IF(DAY(NovSøn1)=1,NovSøn1-6,NovSøn1+1)</f>
        <v>42303</v>
      </c>
      <c r="D4" s="8">
        <f>IF(DAY(NovSøn1)=1,NovSøn1-5,NovSøn1+2)</f>
        <v>42304</v>
      </c>
      <c r="E4" s="8">
        <f>IF(DAY(NovSøn1)=1,NovSøn1-4,NovSøn1+3)</f>
        <v>42305</v>
      </c>
      <c r="F4" s="8">
        <f>IF(DAY(NovSøn1)=1,NovSøn1-3,NovSøn1+4)</f>
        <v>42306</v>
      </c>
      <c r="G4" s="8">
        <f>IF(DAY(NovSøn1)=1,NovSøn1-2,NovSøn1+5)</f>
        <v>42307</v>
      </c>
      <c r="H4" s="8">
        <f>IF(DAY(NovSøn1)=1,NovSøn1-1,NovSøn1+6)</f>
        <v>42308</v>
      </c>
      <c r="I4" s="8">
        <f>IF(DAY(NovSøn1)=1,NovSøn1,NovSøn1+7)</f>
        <v>42309</v>
      </c>
      <c r="J4" s="5"/>
      <c r="K4" s="46" t="s">
        <v>18</v>
      </c>
      <c r="L4" s="14"/>
      <c r="M4" s="47"/>
      <c r="N4" s="48"/>
    </row>
    <row r="5" spans="1:14" ht="18" customHeight="1" x14ac:dyDescent="0.2">
      <c r="A5" s="4"/>
      <c r="B5" s="26"/>
      <c r="C5" s="8">
        <f>IF(DAY(NovSøn1)=1,NovSøn1+1,NovSøn1+8)</f>
        <v>42310</v>
      </c>
      <c r="D5" s="8">
        <f>IF(DAY(NovSøn1)=1,NovSøn1+2,NovSøn1+9)</f>
        <v>42311</v>
      </c>
      <c r="E5" s="8">
        <f>IF(DAY(NovSøn1)=1,NovSøn1+3,NovSøn1+10)</f>
        <v>42312</v>
      </c>
      <c r="F5" s="8">
        <f>IF(DAY(NovSøn1)=1,NovSøn1+4,NovSøn1+11)</f>
        <v>42313</v>
      </c>
      <c r="G5" s="8">
        <f>IF(DAY(NovSøn1)=1,NovSøn1+5,NovSøn1+12)</f>
        <v>42314</v>
      </c>
      <c r="H5" s="8">
        <f>IF(DAY(NovSøn1)=1,NovSøn1+6,NovSøn1+13)</f>
        <v>42315</v>
      </c>
      <c r="I5" s="8">
        <f>IF(DAY(NovSøn1)=1,NovSøn1+7,NovSøn1+14)</f>
        <v>42316</v>
      </c>
      <c r="J5" s="5"/>
      <c r="K5" s="32"/>
      <c r="L5" s="15"/>
      <c r="M5" s="33"/>
      <c r="N5" s="34"/>
    </row>
    <row r="6" spans="1:14" ht="18" customHeight="1" x14ac:dyDescent="0.2">
      <c r="A6" s="4"/>
      <c r="B6" s="26"/>
      <c r="C6" s="8">
        <f>IF(DAY(NovSøn1)=1,NovSøn1+8,NovSøn1+15)</f>
        <v>42317</v>
      </c>
      <c r="D6" s="8">
        <f>IF(DAY(NovSøn1)=1,NovSøn1+9,NovSøn1+16)</f>
        <v>42318</v>
      </c>
      <c r="E6" s="8">
        <f>IF(DAY(NovSøn1)=1,NovSøn1+10,NovSøn1+17)</f>
        <v>42319</v>
      </c>
      <c r="F6" s="8">
        <f>IF(DAY(NovSøn1)=1,NovSøn1+11,NovSøn1+18)</f>
        <v>42320</v>
      </c>
      <c r="G6" s="8">
        <f>IF(DAY(NovSøn1)=1,NovSøn1+12,NovSøn1+19)</f>
        <v>42321</v>
      </c>
      <c r="H6" s="8">
        <f>IF(DAY(NovSøn1)=1,NovSøn1+13,NovSøn1+20)</f>
        <v>42322</v>
      </c>
      <c r="I6" s="8">
        <f>IF(DAY(NovSøn1)=1,NovSøn1+14,NovSøn1+21)</f>
        <v>42323</v>
      </c>
      <c r="J6" s="5"/>
      <c r="K6" s="32"/>
      <c r="L6" s="15"/>
      <c r="M6" s="33"/>
      <c r="N6" s="34"/>
    </row>
    <row r="7" spans="1:14" ht="18" customHeight="1" x14ac:dyDescent="0.2">
      <c r="A7" s="4"/>
      <c r="B7" s="26"/>
      <c r="C7" s="8">
        <f>IF(DAY(NovSøn1)=1,NovSøn1+15,NovSøn1+22)</f>
        <v>42324</v>
      </c>
      <c r="D7" s="8">
        <f>IF(DAY(NovSøn1)=1,NovSøn1+16,NovSøn1+23)</f>
        <v>42325</v>
      </c>
      <c r="E7" s="8">
        <f>IF(DAY(NovSøn1)=1,NovSøn1+17,NovSøn1+24)</f>
        <v>42326</v>
      </c>
      <c r="F7" s="8">
        <f>IF(DAY(NovSøn1)=1,NovSøn1+18,NovSøn1+25)</f>
        <v>42327</v>
      </c>
      <c r="G7" s="8">
        <f>IF(DAY(NovSøn1)=1,NovSøn1+19,NovSøn1+26)</f>
        <v>42328</v>
      </c>
      <c r="H7" s="8">
        <f>IF(DAY(NovSøn1)=1,NovSøn1+20,NovSøn1+27)</f>
        <v>42329</v>
      </c>
      <c r="I7" s="8">
        <f>IF(DAY(NovSøn1)=1,NovSøn1+21,NovSøn1+28)</f>
        <v>42330</v>
      </c>
      <c r="J7" s="5"/>
      <c r="K7" s="9"/>
      <c r="L7" s="15"/>
      <c r="M7" s="33"/>
      <c r="N7" s="34"/>
    </row>
    <row r="8" spans="1:14" ht="18.75" customHeight="1" x14ac:dyDescent="0.2">
      <c r="A8" s="4"/>
      <c r="B8" s="26"/>
      <c r="C8" s="8">
        <f>IF(DAY(NovSøn1)=1,NovSøn1+22,NovSøn1+29)</f>
        <v>42331</v>
      </c>
      <c r="D8" s="8">
        <f>IF(DAY(NovSøn1)=1,NovSøn1+23,NovSøn1+30)</f>
        <v>42332</v>
      </c>
      <c r="E8" s="8">
        <f>IF(DAY(NovSøn1)=1,NovSøn1+24,NovSøn1+31)</f>
        <v>42333</v>
      </c>
      <c r="F8" s="8">
        <f>IF(DAY(NovSøn1)=1,NovSøn1+25,NovSøn1+32)</f>
        <v>42334</v>
      </c>
      <c r="G8" s="8">
        <f>IF(DAY(NovSøn1)=1,NovSøn1+26,NovSøn1+33)</f>
        <v>42335</v>
      </c>
      <c r="H8" s="8">
        <f>IF(DAY(NovSøn1)=1,NovSøn1+27,NovSøn1+34)</f>
        <v>42336</v>
      </c>
      <c r="I8" s="8">
        <f>IF(DAY(NovSøn1)=1,NovSøn1+28,NovSøn1+35)</f>
        <v>42337</v>
      </c>
      <c r="J8" s="5"/>
      <c r="K8" s="9"/>
      <c r="L8" s="15"/>
      <c r="M8" s="33"/>
      <c r="N8" s="34"/>
    </row>
    <row r="9" spans="1:14" ht="18" customHeight="1" x14ac:dyDescent="0.2">
      <c r="A9" s="4"/>
      <c r="B9" s="26"/>
      <c r="C9" s="8">
        <f>IF(DAY(NovSøn1)=1,NovSøn1+29,NovSøn1+36)</f>
        <v>42338</v>
      </c>
      <c r="D9" s="8">
        <f>IF(DAY(NovSøn1)=1,NovSøn1+30,NovSøn1+37)</f>
        <v>42339</v>
      </c>
      <c r="E9" s="8">
        <f>IF(DAY(NovSøn1)=1,NovSøn1+31,NovSøn1+38)</f>
        <v>42340</v>
      </c>
      <c r="F9" s="8">
        <f>IF(DAY(NovSøn1)=1,NovSøn1+32,NovSøn1+39)</f>
        <v>42341</v>
      </c>
      <c r="G9" s="8">
        <f>IF(DAY(NovSøn1)=1,NovSøn1+33,NovSøn1+40)</f>
        <v>42342</v>
      </c>
      <c r="H9" s="8">
        <f>IF(DAY(NovSøn1)=1,NovSøn1+34,NovSøn1+41)</f>
        <v>42343</v>
      </c>
      <c r="I9" s="8">
        <f>IF(DAY(NovSøn1)=1,NovSøn1+35,NovSøn1+42)</f>
        <v>42344</v>
      </c>
      <c r="J9" s="5"/>
      <c r="K9" s="10"/>
      <c r="L9" s="16"/>
      <c r="M9" s="35"/>
      <c r="N9" s="36"/>
    </row>
    <row r="10" spans="1:14" ht="18" customHeight="1" x14ac:dyDescent="0.2">
      <c r="A10" s="4"/>
      <c r="B10" s="27"/>
      <c r="C10" s="21"/>
      <c r="D10" s="21"/>
      <c r="E10" s="21"/>
      <c r="F10" s="21"/>
      <c r="G10" s="21"/>
      <c r="H10" s="21"/>
      <c r="I10" s="21"/>
      <c r="J10" s="22"/>
      <c r="K10" s="31" t="s">
        <v>19</v>
      </c>
      <c r="L10" s="14"/>
      <c r="M10" s="37"/>
      <c r="N10" s="38"/>
    </row>
    <row r="11" spans="1:14" ht="18" customHeight="1" x14ac:dyDescent="0.2">
      <c r="A11" s="4"/>
      <c r="B11" s="70" t="s">
        <v>31</v>
      </c>
      <c r="C11" s="71"/>
      <c r="D11" s="71"/>
      <c r="E11" s="71"/>
      <c r="F11" s="71"/>
      <c r="G11" s="71"/>
      <c r="H11" s="71"/>
      <c r="I11" s="71"/>
      <c r="J11" s="72"/>
      <c r="K11" s="32"/>
      <c r="L11" s="15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5"/>
      <c r="M12" s="33"/>
      <c r="N12" s="34"/>
    </row>
    <row r="13" spans="1:14" ht="18" customHeight="1" x14ac:dyDescent="0.2">
      <c r="B13" s="3" t="s">
        <v>18</v>
      </c>
      <c r="C13" s="39" t="s">
        <v>19</v>
      </c>
      <c r="D13" s="41"/>
      <c r="E13" s="39" t="s">
        <v>20</v>
      </c>
      <c r="F13" s="41"/>
      <c r="G13" s="39" t="s">
        <v>21</v>
      </c>
      <c r="H13" s="41"/>
      <c r="I13" s="39" t="s">
        <v>22</v>
      </c>
      <c r="J13" s="40"/>
      <c r="K13" s="9"/>
      <c r="L13" s="15"/>
      <c r="M13" s="33"/>
      <c r="N13" s="34"/>
    </row>
    <row r="14" spans="1:14" ht="18" customHeight="1" x14ac:dyDescent="0.2">
      <c r="B14" s="29" t="s">
        <v>5</v>
      </c>
      <c r="C14" s="53"/>
      <c r="D14" s="54"/>
      <c r="E14" s="53" t="s">
        <v>5</v>
      </c>
      <c r="F14" s="54"/>
      <c r="G14" s="53"/>
      <c r="H14" s="54"/>
      <c r="I14" s="53" t="s">
        <v>5</v>
      </c>
      <c r="J14" s="62"/>
      <c r="K14" s="9"/>
      <c r="L14" s="15"/>
      <c r="M14" s="33"/>
      <c r="N14" s="34"/>
    </row>
    <row r="15" spans="1:14" ht="18" customHeight="1" x14ac:dyDescent="0.2">
      <c r="B15" s="6" t="s">
        <v>25</v>
      </c>
      <c r="C15" s="51"/>
      <c r="D15" s="52"/>
      <c r="E15" s="51" t="s">
        <v>25</v>
      </c>
      <c r="F15" s="52"/>
      <c r="G15" s="51"/>
      <c r="H15" s="52"/>
      <c r="I15" s="59" t="s">
        <v>25</v>
      </c>
      <c r="J15" s="60"/>
      <c r="K15" s="11"/>
      <c r="L15" s="17"/>
      <c r="M15" s="35"/>
      <c r="N15" s="36"/>
    </row>
    <row r="16" spans="1:14" ht="18" customHeight="1" x14ac:dyDescent="0.2">
      <c r="B16" s="29"/>
      <c r="C16" s="53" t="s">
        <v>6</v>
      </c>
      <c r="D16" s="54"/>
      <c r="E16" s="53"/>
      <c r="F16" s="54"/>
      <c r="G16" s="53" t="s">
        <v>6</v>
      </c>
      <c r="H16" s="54"/>
      <c r="I16" s="63"/>
      <c r="J16" s="64"/>
      <c r="K16" s="31" t="s">
        <v>20</v>
      </c>
      <c r="L16" s="14"/>
      <c r="M16" s="37"/>
      <c r="N16" s="38"/>
    </row>
    <row r="17" spans="2:14" ht="18" customHeight="1" x14ac:dyDescent="0.2">
      <c r="B17" s="6"/>
      <c r="C17" s="51" t="s">
        <v>26</v>
      </c>
      <c r="D17" s="52"/>
      <c r="E17" s="51"/>
      <c r="F17" s="52"/>
      <c r="G17" s="51" t="s">
        <v>26</v>
      </c>
      <c r="H17" s="52"/>
      <c r="I17" s="59"/>
      <c r="J17" s="60"/>
      <c r="K17" s="32"/>
      <c r="L17" s="15"/>
      <c r="M17" s="33"/>
      <c r="N17" s="34"/>
    </row>
    <row r="18" spans="2:14" ht="18" customHeight="1" x14ac:dyDescent="0.2">
      <c r="B18" s="30" t="s">
        <v>7</v>
      </c>
      <c r="C18" s="55"/>
      <c r="D18" s="56"/>
      <c r="E18" s="55" t="s">
        <v>7</v>
      </c>
      <c r="F18" s="56"/>
      <c r="G18" s="55"/>
      <c r="H18" s="56"/>
      <c r="I18" s="55" t="s">
        <v>7</v>
      </c>
      <c r="J18" s="61"/>
      <c r="K18" s="32"/>
      <c r="L18" s="15"/>
      <c r="M18" s="33"/>
      <c r="N18" s="34"/>
    </row>
    <row r="19" spans="2:14" ht="18" customHeight="1" x14ac:dyDescent="0.2">
      <c r="B19" s="6" t="s">
        <v>27</v>
      </c>
      <c r="C19" s="51"/>
      <c r="D19" s="52"/>
      <c r="E19" s="51" t="s">
        <v>27</v>
      </c>
      <c r="F19" s="52"/>
      <c r="G19" s="51"/>
      <c r="H19" s="52"/>
      <c r="I19" s="59" t="s">
        <v>27</v>
      </c>
      <c r="J19" s="60"/>
      <c r="K19" s="9"/>
      <c r="L19" s="15"/>
      <c r="M19" s="33"/>
      <c r="N19" s="34"/>
    </row>
    <row r="20" spans="2:14" ht="18" customHeight="1" x14ac:dyDescent="0.2">
      <c r="B20" s="29"/>
      <c r="C20" s="53"/>
      <c r="D20" s="54"/>
      <c r="E20" s="53"/>
      <c r="F20" s="54"/>
      <c r="G20" s="53"/>
      <c r="H20" s="54"/>
      <c r="I20" s="53"/>
      <c r="J20" s="62"/>
      <c r="K20" s="9"/>
      <c r="L20" s="15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1"/>
      <c r="L21" s="17"/>
      <c r="M21" s="35"/>
      <c r="N21" s="36"/>
    </row>
    <row r="22" spans="2:14" ht="18" customHeight="1" x14ac:dyDescent="0.2">
      <c r="B22" s="29"/>
      <c r="C22" s="53"/>
      <c r="D22" s="54"/>
      <c r="E22" s="53"/>
      <c r="F22" s="54"/>
      <c r="G22" s="53"/>
      <c r="H22" s="54"/>
      <c r="I22" s="53"/>
      <c r="J22" s="62"/>
      <c r="K22" s="31" t="s">
        <v>21</v>
      </c>
      <c r="L22" s="14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5"/>
      <c r="M23" s="33"/>
      <c r="N23" s="34"/>
    </row>
    <row r="24" spans="2:14" ht="18" customHeight="1" x14ac:dyDescent="0.2">
      <c r="B24" s="29"/>
      <c r="C24" s="53"/>
      <c r="D24" s="54"/>
      <c r="E24" s="53"/>
      <c r="F24" s="54"/>
      <c r="G24" s="53"/>
      <c r="H24" s="54"/>
      <c r="I24" s="53"/>
      <c r="J24" s="62"/>
      <c r="K24" s="32"/>
      <c r="L24" s="15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5"/>
      <c r="M25" s="33"/>
      <c r="N25" s="34"/>
    </row>
    <row r="26" spans="2:14" ht="18" customHeight="1" x14ac:dyDescent="0.2">
      <c r="B26" s="29">
        <v>0.58333333333333337</v>
      </c>
      <c r="C26" s="53"/>
      <c r="D26" s="54"/>
      <c r="E26" s="53">
        <v>0.58333333333333337</v>
      </c>
      <c r="F26" s="54"/>
      <c r="G26" s="53"/>
      <c r="H26" s="54"/>
      <c r="I26" s="53">
        <v>0.58333333333333337</v>
      </c>
      <c r="J26" s="62"/>
      <c r="K26" s="9"/>
      <c r="L26" s="15"/>
      <c r="M26" s="33"/>
      <c r="N26" s="34"/>
    </row>
    <row r="27" spans="2:14" ht="18" customHeight="1" x14ac:dyDescent="0.2">
      <c r="B27" s="6" t="s">
        <v>28</v>
      </c>
      <c r="C27" s="51"/>
      <c r="D27" s="52"/>
      <c r="E27" s="51" t="s">
        <v>28</v>
      </c>
      <c r="F27" s="52"/>
      <c r="G27" s="51"/>
      <c r="H27" s="52"/>
      <c r="I27" s="59" t="s">
        <v>28</v>
      </c>
      <c r="J27" s="60"/>
      <c r="K27" s="11"/>
      <c r="L27" s="17"/>
      <c r="M27" s="35"/>
      <c r="N27" s="36"/>
    </row>
    <row r="28" spans="2:14" ht="18" customHeight="1" x14ac:dyDescent="0.2">
      <c r="B28" s="29"/>
      <c r="C28" s="53"/>
      <c r="D28" s="54"/>
      <c r="E28" s="53"/>
      <c r="F28" s="54"/>
      <c r="G28" s="53"/>
      <c r="H28" s="54"/>
      <c r="I28" s="53"/>
      <c r="J28" s="62"/>
      <c r="K28" s="31" t="s">
        <v>22</v>
      </c>
      <c r="L28" s="14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5"/>
      <c r="M29" s="33"/>
      <c r="N29" s="34"/>
    </row>
    <row r="30" spans="2:14" ht="18" customHeight="1" x14ac:dyDescent="0.2">
      <c r="B30" s="29"/>
      <c r="C30" s="53">
        <v>0.66666666666666663</v>
      </c>
      <c r="D30" s="54"/>
      <c r="E30" s="53"/>
      <c r="F30" s="54"/>
      <c r="G30" s="53">
        <v>0.66666666666666663</v>
      </c>
      <c r="H30" s="54"/>
      <c r="I30" s="75"/>
      <c r="J30" s="76"/>
      <c r="K30" s="32"/>
      <c r="L30" s="15"/>
      <c r="M30" s="33"/>
      <c r="N30" s="34"/>
    </row>
    <row r="31" spans="2:14" ht="18" customHeight="1" x14ac:dyDescent="0.2">
      <c r="B31" s="6"/>
      <c r="C31" s="51" t="s">
        <v>29</v>
      </c>
      <c r="D31" s="52"/>
      <c r="E31" s="51"/>
      <c r="F31" s="52"/>
      <c r="G31" s="51" t="s">
        <v>29</v>
      </c>
      <c r="H31" s="52"/>
      <c r="I31" s="51"/>
      <c r="J31" s="67"/>
      <c r="K31" s="12"/>
      <c r="L31" s="15"/>
      <c r="M31" s="33"/>
      <c r="N31" s="34"/>
    </row>
    <row r="32" spans="2:14" ht="18" customHeight="1" x14ac:dyDescent="0.2">
      <c r="B32" s="29"/>
      <c r="C32" s="53"/>
      <c r="D32" s="54"/>
      <c r="E32" s="53"/>
      <c r="F32" s="54"/>
      <c r="G32" s="53"/>
      <c r="H32" s="54"/>
      <c r="I32" s="63"/>
      <c r="J32" s="64"/>
      <c r="K32" s="12"/>
      <c r="L32" s="15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3"/>
      <c r="L33" s="18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17" priority="9" stopIfTrue="1">
      <formula>DAY(C4)&gt;8</formula>
    </cfRule>
  </conditionalFormatting>
  <conditionalFormatting sqref="C8:I10">
    <cfRule type="expression" dxfId="16" priority="8" stopIfTrue="1">
      <formula>AND(DAY(C8)&gt;=1,DAY(C8)&lt;=15)</formula>
    </cfRule>
  </conditionalFormatting>
  <conditionalFormatting sqref="C4:I9">
    <cfRule type="expression" dxfId="15" priority="10">
      <formula>VLOOKUP(DAY(C4),OpgaveDage,1,FALSE)=DAY(C4)</formula>
    </cfRule>
  </conditionalFormatting>
  <conditionalFormatting sqref="B14:J14 B16:J16 B18:J18 B17 I17:J17 B20:J26 B28:J30 B32:J33">
    <cfRule type="expression" dxfId="14" priority="6">
      <formula>B14&lt;&gt;""</formula>
    </cfRule>
  </conditionalFormatting>
  <conditionalFormatting sqref="B15:J15">
    <cfRule type="expression" dxfId="13" priority="5">
      <formula>B15&lt;&gt;""</formula>
    </cfRule>
  </conditionalFormatting>
  <conditionalFormatting sqref="C17:H17">
    <cfRule type="expression" dxfId="12" priority="4">
      <formula>C17&lt;&gt;""</formula>
    </cfRule>
  </conditionalFormatting>
  <conditionalFormatting sqref="B19:J19">
    <cfRule type="expression" dxfId="11" priority="3">
      <formula>B19&lt;&gt;""</formula>
    </cfRule>
  </conditionalFormatting>
  <conditionalFormatting sqref="B27:J27">
    <cfRule type="expression" dxfId="10" priority="2">
      <formula>B27&lt;&gt;""</formula>
    </cfRule>
  </conditionalFormatting>
  <conditionalFormatting sqref="B31:J31">
    <cfRule type="expression" dxfId="9" priority="1">
      <formula>B31&lt;&gt;""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8"/>
      <c r="C2" s="19"/>
      <c r="D2" s="19"/>
      <c r="E2" s="19"/>
      <c r="F2" s="19"/>
      <c r="G2" s="19"/>
      <c r="H2" s="19"/>
      <c r="I2" s="19"/>
      <c r="J2" s="20"/>
      <c r="K2" s="42" t="s">
        <v>17</v>
      </c>
      <c r="L2" s="43">
        <v>2013</v>
      </c>
      <c r="M2" s="43"/>
      <c r="N2" s="79">
        <f>Kalenderår</f>
        <v>2015</v>
      </c>
    </row>
    <row r="3" spans="1:14" ht="21" customHeight="1" x14ac:dyDescent="0.2">
      <c r="A3" s="4"/>
      <c r="B3" s="68" t="s">
        <v>16</v>
      </c>
      <c r="C3" s="2" t="s">
        <v>1</v>
      </c>
      <c r="D3" s="2" t="s">
        <v>2</v>
      </c>
      <c r="E3" s="2" t="s">
        <v>32</v>
      </c>
      <c r="F3" s="2" t="s">
        <v>2</v>
      </c>
      <c r="G3" s="2" t="s">
        <v>3</v>
      </c>
      <c r="H3" s="2" t="s">
        <v>33</v>
      </c>
      <c r="I3" s="2" t="s">
        <v>4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8">
        <f>IF(DAY(DecSøn1)=1,DecSøn1-6,DecSøn1+1)</f>
        <v>42338</v>
      </c>
      <c r="D4" s="8">
        <f>IF(DAY(DecSøn1)=1,DecSøn1-5,DecSøn1+2)</f>
        <v>42339</v>
      </c>
      <c r="E4" s="8">
        <f>IF(DAY(DecSøn1)=1,DecSøn1-4,DecSøn1+3)</f>
        <v>42340</v>
      </c>
      <c r="F4" s="8">
        <f>IF(DAY(DecSøn1)=1,DecSøn1-3,DecSøn1+4)</f>
        <v>42341</v>
      </c>
      <c r="G4" s="8">
        <f>IF(DAY(DecSøn1)=1,DecSøn1-2,DecSøn1+5)</f>
        <v>42342</v>
      </c>
      <c r="H4" s="8">
        <f>IF(DAY(DecSøn1)=1,DecSøn1-1,DecSøn1+6)</f>
        <v>42343</v>
      </c>
      <c r="I4" s="8">
        <f>IF(DAY(DecSøn1)=1,DecSøn1,DecSøn1+7)</f>
        <v>42344</v>
      </c>
      <c r="J4" s="5"/>
      <c r="K4" s="46" t="s">
        <v>18</v>
      </c>
      <c r="L4" s="14"/>
      <c r="M4" s="47"/>
      <c r="N4" s="48"/>
    </row>
    <row r="5" spans="1:14" ht="18" customHeight="1" x14ac:dyDescent="0.2">
      <c r="A5" s="4"/>
      <c r="B5" s="26"/>
      <c r="C5" s="8">
        <f>IF(DAY(DecSøn1)=1,DecSøn1+1,DecSøn1+8)</f>
        <v>42345</v>
      </c>
      <c r="D5" s="8">
        <f>IF(DAY(DecSøn1)=1,DecSøn1+2,DecSøn1+9)</f>
        <v>42346</v>
      </c>
      <c r="E5" s="8">
        <f>IF(DAY(DecSøn1)=1,DecSøn1+3,DecSøn1+10)</f>
        <v>42347</v>
      </c>
      <c r="F5" s="8">
        <f>IF(DAY(DecSøn1)=1,DecSøn1+4,DecSøn1+11)</f>
        <v>42348</v>
      </c>
      <c r="G5" s="8">
        <f>IF(DAY(DecSøn1)=1,DecSøn1+5,DecSøn1+12)</f>
        <v>42349</v>
      </c>
      <c r="H5" s="8">
        <f>IF(DAY(DecSøn1)=1,DecSøn1+6,DecSøn1+13)</f>
        <v>42350</v>
      </c>
      <c r="I5" s="8">
        <f>IF(DAY(DecSøn1)=1,DecSøn1+7,DecSøn1+14)</f>
        <v>42351</v>
      </c>
      <c r="J5" s="5"/>
      <c r="K5" s="32"/>
      <c r="L5" s="15"/>
      <c r="M5" s="33"/>
      <c r="N5" s="34"/>
    </row>
    <row r="6" spans="1:14" ht="18" customHeight="1" x14ac:dyDescent="0.2">
      <c r="A6" s="4"/>
      <c r="B6" s="26"/>
      <c r="C6" s="8">
        <f>IF(DAY(DecSøn1)=1,DecSøn1+8,DecSøn1+15)</f>
        <v>42352</v>
      </c>
      <c r="D6" s="8">
        <f>IF(DAY(DecSøn1)=1,DecSøn1+9,DecSøn1+16)</f>
        <v>42353</v>
      </c>
      <c r="E6" s="8">
        <f>IF(DAY(DecSøn1)=1,DecSøn1+10,DecSøn1+17)</f>
        <v>42354</v>
      </c>
      <c r="F6" s="8">
        <f>IF(DAY(DecSøn1)=1,DecSøn1+11,DecSøn1+18)</f>
        <v>42355</v>
      </c>
      <c r="G6" s="8">
        <f>IF(DAY(DecSøn1)=1,DecSøn1+12,DecSøn1+19)</f>
        <v>42356</v>
      </c>
      <c r="H6" s="8">
        <f>IF(DAY(DecSøn1)=1,DecSøn1+13,DecSøn1+20)</f>
        <v>42357</v>
      </c>
      <c r="I6" s="8">
        <f>IF(DAY(DecSøn1)=1,DecSøn1+14,DecSøn1+21)</f>
        <v>42358</v>
      </c>
      <c r="J6" s="5"/>
      <c r="K6" s="32"/>
      <c r="L6" s="15"/>
      <c r="M6" s="33"/>
      <c r="N6" s="34"/>
    </row>
    <row r="7" spans="1:14" ht="18" customHeight="1" x14ac:dyDescent="0.2">
      <c r="A7" s="4"/>
      <c r="B7" s="26"/>
      <c r="C7" s="8">
        <f>IF(DAY(DecSøn1)=1,DecSøn1+15,DecSøn1+22)</f>
        <v>42359</v>
      </c>
      <c r="D7" s="8">
        <f>IF(DAY(DecSøn1)=1,DecSøn1+16,DecSøn1+23)</f>
        <v>42360</v>
      </c>
      <c r="E7" s="8">
        <f>IF(DAY(DecSøn1)=1,DecSøn1+17,DecSøn1+24)</f>
        <v>42361</v>
      </c>
      <c r="F7" s="8">
        <f>IF(DAY(DecSøn1)=1,DecSøn1+18,DecSøn1+25)</f>
        <v>42362</v>
      </c>
      <c r="G7" s="8">
        <f>IF(DAY(DecSøn1)=1,DecSøn1+19,DecSøn1+26)</f>
        <v>42363</v>
      </c>
      <c r="H7" s="8">
        <f>IF(DAY(DecSøn1)=1,DecSøn1+20,DecSøn1+27)</f>
        <v>42364</v>
      </c>
      <c r="I7" s="8">
        <f>IF(DAY(DecSøn1)=1,DecSøn1+21,DecSøn1+28)</f>
        <v>42365</v>
      </c>
      <c r="J7" s="5"/>
      <c r="K7" s="9"/>
      <c r="L7" s="15"/>
      <c r="M7" s="33"/>
      <c r="N7" s="34"/>
    </row>
    <row r="8" spans="1:14" ht="18.75" customHeight="1" x14ac:dyDescent="0.2">
      <c r="A8" s="4"/>
      <c r="B8" s="26"/>
      <c r="C8" s="8">
        <f>IF(DAY(DecSøn1)=1,DecSøn1+22,DecSøn1+29)</f>
        <v>42366</v>
      </c>
      <c r="D8" s="8">
        <f>IF(DAY(DecSøn1)=1,DecSøn1+23,DecSøn1+30)</f>
        <v>42367</v>
      </c>
      <c r="E8" s="8">
        <f>IF(DAY(DecSøn1)=1,DecSøn1+24,DecSøn1+31)</f>
        <v>42368</v>
      </c>
      <c r="F8" s="8">
        <f>IF(DAY(DecSøn1)=1,DecSøn1+25,DecSøn1+32)</f>
        <v>42369</v>
      </c>
      <c r="G8" s="8">
        <f>IF(DAY(DecSøn1)=1,DecSøn1+26,DecSøn1+33)</f>
        <v>42370</v>
      </c>
      <c r="H8" s="8">
        <f>IF(DAY(DecSøn1)=1,DecSøn1+27,DecSøn1+34)</f>
        <v>42371</v>
      </c>
      <c r="I8" s="8">
        <f>IF(DAY(DecSøn1)=1,DecSøn1+28,DecSøn1+35)</f>
        <v>42372</v>
      </c>
      <c r="J8" s="5"/>
      <c r="K8" s="9"/>
      <c r="L8" s="15"/>
      <c r="M8" s="33"/>
      <c r="N8" s="34"/>
    </row>
    <row r="9" spans="1:14" ht="18" customHeight="1" x14ac:dyDescent="0.2">
      <c r="A9" s="4"/>
      <c r="B9" s="26"/>
      <c r="C9" s="8">
        <f>IF(DAY(DecSøn1)=1,DecSøn1+29,DecSøn1+36)</f>
        <v>42373</v>
      </c>
      <c r="D9" s="8">
        <f>IF(DAY(DecSøn1)=1,DecSøn1+30,DecSøn1+37)</f>
        <v>42374</v>
      </c>
      <c r="E9" s="8">
        <f>IF(DAY(DecSøn1)=1,DecSøn1+31,DecSøn1+38)</f>
        <v>42375</v>
      </c>
      <c r="F9" s="8">
        <f>IF(DAY(DecSøn1)=1,DecSøn1+32,DecSøn1+39)</f>
        <v>42376</v>
      </c>
      <c r="G9" s="8">
        <f>IF(DAY(DecSøn1)=1,DecSøn1+33,DecSøn1+40)</f>
        <v>42377</v>
      </c>
      <c r="H9" s="8">
        <f>IF(DAY(DecSøn1)=1,DecSøn1+34,DecSøn1+41)</f>
        <v>42378</v>
      </c>
      <c r="I9" s="8">
        <f>IF(DAY(DecSøn1)=1,DecSøn1+35,DecSøn1+42)</f>
        <v>42379</v>
      </c>
      <c r="J9" s="5"/>
      <c r="K9" s="10"/>
      <c r="L9" s="16"/>
      <c r="M9" s="35"/>
      <c r="N9" s="36"/>
    </row>
    <row r="10" spans="1:14" ht="18" customHeight="1" x14ac:dyDescent="0.2">
      <c r="A10" s="4"/>
      <c r="B10" s="27"/>
      <c r="C10" s="21"/>
      <c r="D10" s="21"/>
      <c r="E10" s="21"/>
      <c r="F10" s="21"/>
      <c r="G10" s="21"/>
      <c r="H10" s="21"/>
      <c r="I10" s="21"/>
      <c r="J10" s="22"/>
      <c r="K10" s="31" t="s">
        <v>19</v>
      </c>
      <c r="L10" s="14"/>
      <c r="M10" s="37"/>
      <c r="N10" s="38"/>
    </row>
    <row r="11" spans="1:14" ht="18" customHeight="1" x14ac:dyDescent="0.2">
      <c r="A11" s="4"/>
      <c r="B11" s="70" t="s">
        <v>31</v>
      </c>
      <c r="C11" s="71"/>
      <c r="D11" s="71"/>
      <c r="E11" s="71"/>
      <c r="F11" s="71"/>
      <c r="G11" s="71"/>
      <c r="H11" s="71"/>
      <c r="I11" s="71"/>
      <c r="J11" s="72"/>
      <c r="K11" s="32"/>
      <c r="L11" s="15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5"/>
      <c r="M12" s="33"/>
      <c r="N12" s="34"/>
    </row>
    <row r="13" spans="1:14" ht="18" customHeight="1" x14ac:dyDescent="0.2">
      <c r="B13" s="3" t="s">
        <v>18</v>
      </c>
      <c r="C13" s="39" t="s">
        <v>19</v>
      </c>
      <c r="D13" s="41"/>
      <c r="E13" s="39" t="s">
        <v>20</v>
      </c>
      <c r="F13" s="41"/>
      <c r="G13" s="39" t="s">
        <v>21</v>
      </c>
      <c r="H13" s="41"/>
      <c r="I13" s="39" t="s">
        <v>22</v>
      </c>
      <c r="J13" s="40"/>
      <c r="K13" s="9"/>
      <c r="L13" s="15"/>
      <c r="M13" s="33"/>
      <c r="N13" s="34"/>
    </row>
    <row r="14" spans="1:14" ht="18" customHeight="1" x14ac:dyDescent="0.2">
      <c r="B14" s="29" t="s">
        <v>5</v>
      </c>
      <c r="C14" s="53"/>
      <c r="D14" s="54"/>
      <c r="E14" s="53" t="s">
        <v>5</v>
      </c>
      <c r="F14" s="54"/>
      <c r="G14" s="53"/>
      <c r="H14" s="54"/>
      <c r="I14" s="53" t="s">
        <v>5</v>
      </c>
      <c r="J14" s="62"/>
      <c r="K14" s="9"/>
      <c r="L14" s="15"/>
      <c r="M14" s="33"/>
      <c r="N14" s="34"/>
    </row>
    <row r="15" spans="1:14" ht="18" customHeight="1" x14ac:dyDescent="0.2">
      <c r="B15" s="6" t="s">
        <v>25</v>
      </c>
      <c r="C15" s="51"/>
      <c r="D15" s="52"/>
      <c r="E15" s="51" t="s">
        <v>25</v>
      </c>
      <c r="F15" s="52"/>
      <c r="G15" s="51"/>
      <c r="H15" s="52"/>
      <c r="I15" s="59" t="s">
        <v>25</v>
      </c>
      <c r="J15" s="60"/>
      <c r="K15" s="11"/>
      <c r="L15" s="17"/>
      <c r="M15" s="35"/>
      <c r="N15" s="36"/>
    </row>
    <row r="16" spans="1:14" ht="18" customHeight="1" x14ac:dyDescent="0.2">
      <c r="B16" s="29"/>
      <c r="C16" s="53" t="s">
        <v>6</v>
      </c>
      <c r="D16" s="54"/>
      <c r="E16" s="53"/>
      <c r="F16" s="54"/>
      <c r="G16" s="53" t="s">
        <v>6</v>
      </c>
      <c r="H16" s="54"/>
      <c r="I16" s="63"/>
      <c r="J16" s="64"/>
      <c r="K16" s="31" t="s">
        <v>20</v>
      </c>
      <c r="L16" s="14"/>
      <c r="M16" s="37"/>
      <c r="N16" s="38"/>
    </row>
    <row r="17" spans="2:14" ht="18" customHeight="1" x14ac:dyDescent="0.2">
      <c r="B17" s="6"/>
      <c r="C17" s="51" t="s">
        <v>26</v>
      </c>
      <c r="D17" s="52"/>
      <c r="E17" s="51"/>
      <c r="F17" s="52"/>
      <c r="G17" s="51" t="s">
        <v>26</v>
      </c>
      <c r="H17" s="52"/>
      <c r="I17" s="59"/>
      <c r="J17" s="60"/>
      <c r="K17" s="32"/>
      <c r="L17" s="15"/>
      <c r="M17" s="33"/>
      <c r="N17" s="34"/>
    </row>
    <row r="18" spans="2:14" ht="18" customHeight="1" x14ac:dyDescent="0.2">
      <c r="B18" s="30" t="s">
        <v>7</v>
      </c>
      <c r="C18" s="55"/>
      <c r="D18" s="56"/>
      <c r="E18" s="55" t="s">
        <v>7</v>
      </c>
      <c r="F18" s="56"/>
      <c r="G18" s="55"/>
      <c r="H18" s="56"/>
      <c r="I18" s="55" t="s">
        <v>7</v>
      </c>
      <c r="J18" s="61"/>
      <c r="K18" s="32"/>
      <c r="L18" s="15"/>
      <c r="M18" s="33"/>
      <c r="N18" s="34"/>
    </row>
    <row r="19" spans="2:14" ht="18" customHeight="1" x14ac:dyDescent="0.2">
      <c r="B19" s="6" t="s">
        <v>27</v>
      </c>
      <c r="C19" s="51"/>
      <c r="D19" s="52"/>
      <c r="E19" s="51" t="s">
        <v>27</v>
      </c>
      <c r="F19" s="52"/>
      <c r="G19" s="51"/>
      <c r="H19" s="52"/>
      <c r="I19" s="59" t="s">
        <v>27</v>
      </c>
      <c r="J19" s="60"/>
      <c r="K19" s="9"/>
      <c r="L19" s="15"/>
      <c r="M19" s="33"/>
      <c r="N19" s="34"/>
    </row>
    <row r="20" spans="2:14" ht="18" customHeight="1" x14ac:dyDescent="0.2">
      <c r="B20" s="29"/>
      <c r="C20" s="53"/>
      <c r="D20" s="54"/>
      <c r="E20" s="53"/>
      <c r="F20" s="54"/>
      <c r="G20" s="53"/>
      <c r="H20" s="54"/>
      <c r="I20" s="53"/>
      <c r="J20" s="62"/>
      <c r="K20" s="9"/>
      <c r="L20" s="15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1"/>
      <c r="L21" s="17"/>
      <c r="M21" s="35"/>
      <c r="N21" s="36"/>
    </row>
    <row r="22" spans="2:14" ht="18" customHeight="1" x14ac:dyDescent="0.2">
      <c r="B22" s="29"/>
      <c r="C22" s="53"/>
      <c r="D22" s="54"/>
      <c r="E22" s="53"/>
      <c r="F22" s="54"/>
      <c r="G22" s="53"/>
      <c r="H22" s="54"/>
      <c r="I22" s="53"/>
      <c r="J22" s="62"/>
      <c r="K22" s="31" t="s">
        <v>21</v>
      </c>
      <c r="L22" s="14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5"/>
      <c r="M23" s="33"/>
      <c r="N23" s="34"/>
    </row>
    <row r="24" spans="2:14" ht="18" customHeight="1" x14ac:dyDescent="0.2">
      <c r="B24" s="29"/>
      <c r="C24" s="53"/>
      <c r="D24" s="54"/>
      <c r="E24" s="53"/>
      <c r="F24" s="54"/>
      <c r="G24" s="53"/>
      <c r="H24" s="54"/>
      <c r="I24" s="53"/>
      <c r="J24" s="62"/>
      <c r="K24" s="32"/>
      <c r="L24" s="15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5"/>
      <c r="M25" s="33"/>
      <c r="N25" s="34"/>
    </row>
    <row r="26" spans="2:14" ht="18" customHeight="1" x14ac:dyDescent="0.2">
      <c r="B26" s="29">
        <v>0.58333333333333337</v>
      </c>
      <c r="C26" s="53"/>
      <c r="D26" s="54"/>
      <c r="E26" s="53">
        <v>0.58333333333333337</v>
      </c>
      <c r="F26" s="54"/>
      <c r="G26" s="53"/>
      <c r="H26" s="54"/>
      <c r="I26" s="53">
        <v>0.58333333333333337</v>
      </c>
      <c r="J26" s="62"/>
      <c r="K26" s="9"/>
      <c r="L26" s="15"/>
      <c r="M26" s="33"/>
      <c r="N26" s="34"/>
    </row>
    <row r="27" spans="2:14" ht="18" customHeight="1" x14ac:dyDescent="0.2">
      <c r="B27" s="6" t="s">
        <v>28</v>
      </c>
      <c r="C27" s="51"/>
      <c r="D27" s="52"/>
      <c r="E27" s="51" t="s">
        <v>28</v>
      </c>
      <c r="F27" s="52"/>
      <c r="G27" s="51"/>
      <c r="H27" s="52"/>
      <c r="I27" s="59" t="s">
        <v>28</v>
      </c>
      <c r="J27" s="60"/>
      <c r="K27" s="11"/>
      <c r="L27" s="17"/>
      <c r="M27" s="35"/>
      <c r="N27" s="36"/>
    </row>
    <row r="28" spans="2:14" ht="18" customHeight="1" x14ac:dyDescent="0.2">
      <c r="B28" s="29"/>
      <c r="C28" s="53"/>
      <c r="D28" s="54"/>
      <c r="E28" s="53"/>
      <c r="F28" s="54"/>
      <c r="G28" s="53"/>
      <c r="H28" s="54"/>
      <c r="I28" s="53"/>
      <c r="J28" s="62"/>
      <c r="K28" s="31" t="s">
        <v>22</v>
      </c>
      <c r="L28" s="14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5"/>
      <c r="M29" s="33"/>
      <c r="N29" s="34"/>
    </row>
    <row r="30" spans="2:14" ht="18" customHeight="1" x14ac:dyDescent="0.2">
      <c r="B30" s="29"/>
      <c r="C30" s="53">
        <v>0.66666666666666663</v>
      </c>
      <c r="D30" s="54"/>
      <c r="E30" s="53"/>
      <c r="F30" s="54"/>
      <c r="G30" s="53">
        <v>0.66666666666666663</v>
      </c>
      <c r="H30" s="54"/>
      <c r="I30" s="75"/>
      <c r="J30" s="76"/>
      <c r="K30" s="32"/>
      <c r="L30" s="15"/>
      <c r="M30" s="33"/>
      <c r="N30" s="34"/>
    </row>
    <row r="31" spans="2:14" ht="18" customHeight="1" x14ac:dyDescent="0.2">
      <c r="B31" s="6"/>
      <c r="C31" s="51" t="s">
        <v>29</v>
      </c>
      <c r="D31" s="52"/>
      <c r="E31" s="51"/>
      <c r="F31" s="52"/>
      <c r="G31" s="51" t="s">
        <v>29</v>
      </c>
      <c r="H31" s="52"/>
      <c r="I31" s="51"/>
      <c r="J31" s="67"/>
      <c r="K31" s="12"/>
      <c r="L31" s="15"/>
      <c r="M31" s="33"/>
      <c r="N31" s="34"/>
    </row>
    <row r="32" spans="2:14" ht="18" customHeight="1" x14ac:dyDescent="0.2">
      <c r="B32" s="29"/>
      <c r="C32" s="53"/>
      <c r="D32" s="54"/>
      <c r="E32" s="53"/>
      <c r="F32" s="54"/>
      <c r="G32" s="53"/>
      <c r="H32" s="54"/>
      <c r="I32" s="63"/>
      <c r="J32" s="64"/>
      <c r="K32" s="12"/>
      <c r="L32" s="15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3"/>
      <c r="L33" s="18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8" priority="9" stopIfTrue="1">
      <formula>DAY(C4)&gt;8</formula>
    </cfRule>
  </conditionalFormatting>
  <conditionalFormatting sqref="C8:I10">
    <cfRule type="expression" dxfId="7" priority="8" stopIfTrue="1">
      <formula>AND(DAY(C8)&gt;=1,DAY(C8)&lt;=15)</formula>
    </cfRule>
  </conditionalFormatting>
  <conditionalFormatting sqref="C4:I9">
    <cfRule type="expression" dxfId="6" priority="10">
      <formula>VLOOKUP(DAY(C4),OpgaveDage,1,FALSE)=DAY(C4)</formula>
    </cfRule>
  </conditionalFormatting>
  <conditionalFormatting sqref="B14:J14 B16:J16 B18:J18 B17 I17:J17 B20:J26 B28:J30 B32:J33">
    <cfRule type="expression" dxfId="5" priority="6">
      <formula>B14&lt;&gt;""</formula>
    </cfRule>
  </conditionalFormatting>
  <conditionalFormatting sqref="B15:J15">
    <cfRule type="expression" dxfId="4" priority="5">
      <formula>B15&lt;&gt;""</formula>
    </cfRule>
  </conditionalFormatting>
  <conditionalFormatting sqref="C17:H17">
    <cfRule type="expression" dxfId="3" priority="4">
      <formula>C17&lt;&gt;""</formula>
    </cfRule>
  </conditionalFormatting>
  <conditionalFormatting sqref="B19:J19">
    <cfRule type="expression" dxfId="2" priority="3">
      <formula>B19&lt;&gt;""</formula>
    </cfRule>
  </conditionalFormatting>
  <conditionalFormatting sqref="B27:J27">
    <cfRule type="expression" dxfId="1" priority="2">
      <formula>B27&lt;&gt;""</formula>
    </cfRule>
  </conditionalFormatting>
  <conditionalFormatting sqref="B31:J31">
    <cfRule type="expression" dxfId="0" priority="1">
      <formula>B31&lt;&gt;""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8"/>
      <c r="C2" s="19"/>
      <c r="D2" s="19"/>
      <c r="E2" s="19"/>
      <c r="F2" s="19"/>
      <c r="G2" s="19"/>
      <c r="H2" s="19"/>
      <c r="I2" s="19"/>
      <c r="J2" s="20"/>
      <c r="K2" s="42" t="s">
        <v>17</v>
      </c>
      <c r="L2" s="43">
        <v>2013</v>
      </c>
      <c r="M2" s="43"/>
      <c r="N2" s="79">
        <f>Kalenderår</f>
        <v>2015</v>
      </c>
    </row>
    <row r="3" spans="1:14" ht="21" customHeight="1" x14ac:dyDescent="0.2">
      <c r="A3" s="4"/>
      <c r="B3" s="68" t="s">
        <v>8</v>
      </c>
      <c r="C3" s="2" t="s">
        <v>1</v>
      </c>
      <c r="D3" s="2" t="s">
        <v>2</v>
      </c>
      <c r="E3" s="2" t="s">
        <v>32</v>
      </c>
      <c r="F3" s="2" t="s">
        <v>2</v>
      </c>
      <c r="G3" s="2" t="s">
        <v>3</v>
      </c>
      <c r="H3" s="2" t="s">
        <v>33</v>
      </c>
      <c r="I3" s="2" t="s">
        <v>4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8">
        <f>IF(DAY(FebSøn1)=1,FebSøn1-6,FebSøn1+1)</f>
        <v>42030</v>
      </c>
      <c r="D4" s="8">
        <f>IF(DAY(FebSøn1)=1,FebSøn1-5,FebSøn1+2)</f>
        <v>42031</v>
      </c>
      <c r="E4" s="8">
        <f>IF(DAY(FebSøn1)=1,FebSøn1-4,FebSøn1+3)</f>
        <v>42032</v>
      </c>
      <c r="F4" s="8">
        <f>IF(DAY(FebSøn1)=1,FebSøn1-3,FebSøn1+4)</f>
        <v>42033</v>
      </c>
      <c r="G4" s="8">
        <f>IF(DAY(FebSøn1)=1,FebSøn1-2,FebSøn1+5)</f>
        <v>42034</v>
      </c>
      <c r="H4" s="8">
        <f>IF(DAY(FebSøn1)=1,FebSøn1-1,FebSøn1+6)</f>
        <v>42035</v>
      </c>
      <c r="I4" s="8">
        <f>IF(DAY(FebSøn1)=1,FebSøn1,FebSøn1+7)</f>
        <v>42036</v>
      </c>
      <c r="J4" s="5"/>
      <c r="K4" s="46" t="s">
        <v>18</v>
      </c>
      <c r="L4" s="14"/>
      <c r="M4" s="47"/>
      <c r="N4" s="48"/>
    </row>
    <row r="5" spans="1:14" ht="18" customHeight="1" x14ac:dyDescent="0.2">
      <c r="A5" s="4"/>
      <c r="B5" s="26"/>
      <c r="C5" s="8">
        <f>IF(DAY(FebSøn1)=1,FebSøn1+1,FebSøn1+8)</f>
        <v>42037</v>
      </c>
      <c r="D5" s="8">
        <f>IF(DAY(FebSøn1)=1,FebSøn1+2,FebSøn1+9)</f>
        <v>42038</v>
      </c>
      <c r="E5" s="8">
        <f>IF(DAY(FebSøn1)=1,FebSøn1+3,FebSøn1+10)</f>
        <v>42039</v>
      </c>
      <c r="F5" s="8">
        <f>IF(DAY(FebSøn1)=1,FebSøn1+4,FebSøn1+11)</f>
        <v>42040</v>
      </c>
      <c r="G5" s="8">
        <f>IF(DAY(FebSøn1)=1,FebSøn1+5,FebSøn1+12)</f>
        <v>42041</v>
      </c>
      <c r="H5" s="8">
        <f>IF(DAY(FebSøn1)=1,FebSøn1+6,FebSøn1+13)</f>
        <v>42042</v>
      </c>
      <c r="I5" s="8">
        <f>IF(DAY(FebSøn1)=1,FebSøn1+7,FebSøn1+14)</f>
        <v>42043</v>
      </c>
      <c r="J5" s="5"/>
      <c r="K5" s="32"/>
      <c r="L5" s="15"/>
      <c r="M5" s="33"/>
      <c r="N5" s="34"/>
    </row>
    <row r="6" spans="1:14" ht="18" customHeight="1" x14ac:dyDescent="0.2">
      <c r="A6" s="4"/>
      <c r="B6" s="26"/>
      <c r="C6" s="8">
        <f>IF(DAY(FebSøn1)=1,FebSøn1+8,FebSøn1+15)</f>
        <v>42044</v>
      </c>
      <c r="D6" s="8">
        <f>IF(DAY(FebSøn1)=1,FebSøn1+9,FebSøn1+16)</f>
        <v>42045</v>
      </c>
      <c r="E6" s="8">
        <f>IF(DAY(FebSøn1)=1,FebSøn1+10,FebSøn1+17)</f>
        <v>42046</v>
      </c>
      <c r="F6" s="8">
        <f>IF(DAY(FebSøn1)=1,FebSøn1+11,FebSøn1+18)</f>
        <v>42047</v>
      </c>
      <c r="G6" s="8">
        <f>IF(DAY(FebSøn1)=1,FebSøn1+12,FebSøn1+19)</f>
        <v>42048</v>
      </c>
      <c r="H6" s="8">
        <f>IF(DAY(FebSøn1)=1,FebSøn1+13,FebSøn1+20)</f>
        <v>42049</v>
      </c>
      <c r="I6" s="8">
        <f>IF(DAY(FebSøn1)=1,FebSøn1+14,FebSøn1+21)</f>
        <v>42050</v>
      </c>
      <c r="J6" s="5"/>
      <c r="K6" s="32"/>
      <c r="L6" s="15"/>
      <c r="M6" s="33"/>
      <c r="N6" s="34"/>
    </row>
    <row r="7" spans="1:14" ht="18" customHeight="1" x14ac:dyDescent="0.2">
      <c r="A7" s="4"/>
      <c r="B7" s="26"/>
      <c r="C7" s="8">
        <f>IF(DAY(FebSøn1)=1,FebSøn1+15,FebSøn1+22)</f>
        <v>42051</v>
      </c>
      <c r="D7" s="8">
        <f>IF(DAY(FebSøn1)=1,FebSøn1+16,FebSøn1+23)</f>
        <v>42052</v>
      </c>
      <c r="E7" s="8">
        <f>IF(DAY(FebSøn1)=1,FebSøn1+17,FebSøn1+24)</f>
        <v>42053</v>
      </c>
      <c r="F7" s="8">
        <f>IF(DAY(FebSøn1)=1,FebSøn1+18,FebSøn1+25)</f>
        <v>42054</v>
      </c>
      <c r="G7" s="8">
        <f>IF(DAY(FebSøn1)=1,FebSøn1+19,FebSøn1+26)</f>
        <v>42055</v>
      </c>
      <c r="H7" s="8">
        <f>IF(DAY(FebSøn1)=1,FebSøn1+20,FebSøn1+27)</f>
        <v>42056</v>
      </c>
      <c r="I7" s="8">
        <f>IF(DAY(FebSøn1)=1,FebSøn1+21,FebSøn1+28)</f>
        <v>42057</v>
      </c>
      <c r="J7" s="5"/>
      <c r="K7" s="9"/>
      <c r="L7" s="15"/>
      <c r="M7" s="33"/>
      <c r="N7" s="34"/>
    </row>
    <row r="8" spans="1:14" ht="18.75" customHeight="1" x14ac:dyDescent="0.2">
      <c r="A8" s="4"/>
      <c r="B8" s="26"/>
      <c r="C8" s="8">
        <f>IF(DAY(FebSøn1)=1,FebSøn1+22,FebSøn1+29)</f>
        <v>42058</v>
      </c>
      <c r="D8" s="8">
        <f>IF(DAY(FebSøn1)=1,FebSøn1+23,FebSøn1+30)</f>
        <v>42059</v>
      </c>
      <c r="E8" s="8">
        <f>IF(DAY(FebSøn1)=1,FebSøn1+24,FebSøn1+31)</f>
        <v>42060</v>
      </c>
      <c r="F8" s="8">
        <f>IF(DAY(FebSøn1)=1,FebSøn1+25,FebSøn1+32)</f>
        <v>42061</v>
      </c>
      <c r="G8" s="8">
        <f>IF(DAY(FebSøn1)=1,FebSøn1+26,FebSøn1+33)</f>
        <v>42062</v>
      </c>
      <c r="H8" s="8">
        <f>IF(DAY(FebSøn1)=1,FebSøn1+27,FebSøn1+34)</f>
        <v>42063</v>
      </c>
      <c r="I8" s="8">
        <f>IF(DAY(FebSøn1)=1,FebSøn1+28,FebSøn1+35)</f>
        <v>42064</v>
      </c>
      <c r="J8" s="5"/>
      <c r="K8" s="9"/>
      <c r="L8" s="15"/>
      <c r="M8" s="33"/>
      <c r="N8" s="34"/>
    </row>
    <row r="9" spans="1:14" ht="18" customHeight="1" x14ac:dyDescent="0.2">
      <c r="A9" s="4"/>
      <c r="B9" s="26"/>
      <c r="C9" s="8">
        <f>IF(DAY(FebSøn1)=1,FebSøn1+29,FebSøn1+36)</f>
        <v>42065</v>
      </c>
      <c r="D9" s="8">
        <f>IF(DAY(FebSøn1)=1,FebSøn1+30,FebSøn1+37)</f>
        <v>42066</v>
      </c>
      <c r="E9" s="8">
        <f>IF(DAY(FebSøn1)=1,FebSøn1+31,FebSøn1+38)</f>
        <v>42067</v>
      </c>
      <c r="F9" s="8">
        <f>IF(DAY(FebSøn1)=1,FebSøn1+32,FebSøn1+39)</f>
        <v>42068</v>
      </c>
      <c r="G9" s="8">
        <f>IF(DAY(FebSøn1)=1,FebSøn1+33,FebSøn1+40)</f>
        <v>42069</v>
      </c>
      <c r="H9" s="8">
        <f>IF(DAY(FebSøn1)=1,FebSøn1+34,FebSøn1+41)</f>
        <v>42070</v>
      </c>
      <c r="I9" s="8">
        <f>IF(DAY(FebSøn1)=1,FebSøn1+35,FebSøn1+42)</f>
        <v>42071</v>
      </c>
      <c r="J9" s="5"/>
      <c r="K9" s="10"/>
      <c r="L9" s="16"/>
      <c r="M9" s="35"/>
      <c r="N9" s="36"/>
    </row>
    <row r="10" spans="1:14" ht="18" customHeight="1" x14ac:dyDescent="0.2">
      <c r="A10" s="4"/>
      <c r="B10" s="27"/>
      <c r="C10" s="21"/>
      <c r="D10" s="21"/>
      <c r="E10" s="21"/>
      <c r="F10" s="21"/>
      <c r="G10" s="21"/>
      <c r="H10" s="21"/>
      <c r="I10" s="21"/>
      <c r="J10" s="22"/>
      <c r="K10" s="31" t="s">
        <v>19</v>
      </c>
      <c r="L10" s="14"/>
      <c r="M10" s="37"/>
      <c r="N10" s="38"/>
    </row>
    <row r="11" spans="1:14" ht="18" customHeight="1" x14ac:dyDescent="0.2">
      <c r="A11" s="4"/>
      <c r="B11" s="70" t="s">
        <v>31</v>
      </c>
      <c r="C11" s="71"/>
      <c r="D11" s="71"/>
      <c r="E11" s="71"/>
      <c r="F11" s="71"/>
      <c r="G11" s="71"/>
      <c r="H11" s="71"/>
      <c r="I11" s="71"/>
      <c r="J11" s="72"/>
      <c r="K11" s="32"/>
      <c r="L11" s="15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5"/>
      <c r="M12" s="33"/>
      <c r="N12" s="34"/>
    </row>
    <row r="13" spans="1:14" ht="18" customHeight="1" x14ac:dyDescent="0.2">
      <c r="B13" s="3" t="s">
        <v>18</v>
      </c>
      <c r="C13" s="39" t="s">
        <v>19</v>
      </c>
      <c r="D13" s="41"/>
      <c r="E13" s="39" t="s">
        <v>20</v>
      </c>
      <c r="F13" s="41"/>
      <c r="G13" s="39" t="s">
        <v>21</v>
      </c>
      <c r="H13" s="41"/>
      <c r="I13" s="39" t="s">
        <v>22</v>
      </c>
      <c r="J13" s="40"/>
      <c r="K13" s="9"/>
      <c r="L13" s="15"/>
      <c r="M13" s="33"/>
      <c r="N13" s="34"/>
    </row>
    <row r="14" spans="1:14" ht="18" customHeight="1" x14ac:dyDescent="0.2">
      <c r="B14" s="29" t="s">
        <v>5</v>
      </c>
      <c r="C14" s="53"/>
      <c r="D14" s="54"/>
      <c r="E14" s="53" t="s">
        <v>5</v>
      </c>
      <c r="F14" s="54"/>
      <c r="G14" s="53"/>
      <c r="H14" s="54"/>
      <c r="I14" s="53" t="s">
        <v>5</v>
      </c>
      <c r="J14" s="62"/>
      <c r="K14" s="9"/>
      <c r="L14" s="15"/>
      <c r="M14" s="33"/>
      <c r="N14" s="34"/>
    </row>
    <row r="15" spans="1:14" ht="18" customHeight="1" x14ac:dyDescent="0.2">
      <c r="B15" s="6" t="s">
        <v>25</v>
      </c>
      <c r="C15" s="51"/>
      <c r="D15" s="52"/>
      <c r="E15" s="51" t="s">
        <v>25</v>
      </c>
      <c r="F15" s="52"/>
      <c r="G15" s="51"/>
      <c r="H15" s="52"/>
      <c r="I15" s="59" t="s">
        <v>25</v>
      </c>
      <c r="J15" s="60"/>
      <c r="K15" s="11"/>
      <c r="L15" s="17"/>
      <c r="M15" s="35"/>
      <c r="N15" s="36"/>
    </row>
    <row r="16" spans="1:14" ht="18" customHeight="1" x14ac:dyDescent="0.2">
      <c r="B16" s="29"/>
      <c r="C16" s="53" t="s">
        <v>6</v>
      </c>
      <c r="D16" s="54"/>
      <c r="E16" s="53"/>
      <c r="F16" s="54"/>
      <c r="G16" s="53" t="s">
        <v>6</v>
      </c>
      <c r="H16" s="54"/>
      <c r="I16" s="63"/>
      <c r="J16" s="64"/>
      <c r="K16" s="31" t="s">
        <v>20</v>
      </c>
      <c r="L16" s="14"/>
      <c r="M16" s="37"/>
      <c r="N16" s="38"/>
    </row>
    <row r="17" spans="2:14" ht="18" customHeight="1" x14ac:dyDescent="0.2">
      <c r="B17" s="6"/>
      <c r="C17" s="51" t="s">
        <v>26</v>
      </c>
      <c r="D17" s="52"/>
      <c r="E17" s="51"/>
      <c r="F17" s="52"/>
      <c r="G17" s="51" t="s">
        <v>26</v>
      </c>
      <c r="H17" s="52"/>
      <c r="I17" s="59"/>
      <c r="J17" s="60"/>
      <c r="K17" s="32"/>
      <c r="L17" s="15"/>
      <c r="M17" s="33"/>
      <c r="N17" s="34"/>
    </row>
    <row r="18" spans="2:14" ht="18" customHeight="1" x14ac:dyDescent="0.2">
      <c r="B18" s="30" t="s">
        <v>7</v>
      </c>
      <c r="C18" s="55"/>
      <c r="D18" s="56"/>
      <c r="E18" s="55" t="s">
        <v>7</v>
      </c>
      <c r="F18" s="56"/>
      <c r="G18" s="55"/>
      <c r="H18" s="56"/>
      <c r="I18" s="55" t="s">
        <v>7</v>
      </c>
      <c r="J18" s="61"/>
      <c r="K18" s="32"/>
      <c r="L18" s="15"/>
      <c r="M18" s="33"/>
      <c r="N18" s="34"/>
    </row>
    <row r="19" spans="2:14" ht="18" customHeight="1" x14ac:dyDescent="0.2">
      <c r="B19" s="6" t="s">
        <v>27</v>
      </c>
      <c r="C19" s="51"/>
      <c r="D19" s="52"/>
      <c r="E19" s="51" t="s">
        <v>27</v>
      </c>
      <c r="F19" s="52"/>
      <c r="G19" s="51"/>
      <c r="H19" s="52"/>
      <c r="I19" s="59" t="s">
        <v>27</v>
      </c>
      <c r="J19" s="60"/>
      <c r="K19" s="9"/>
      <c r="L19" s="15"/>
      <c r="M19" s="33"/>
      <c r="N19" s="34"/>
    </row>
    <row r="20" spans="2:14" ht="18" customHeight="1" x14ac:dyDescent="0.2">
      <c r="B20" s="29"/>
      <c r="C20" s="53"/>
      <c r="D20" s="54"/>
      <c r="E20" s="53"/>
      <c r="F20" s="54"/>
      <c r="G20" s="53"/>
      <c r="H20" s="54"/>
      <c r="I20" s="53"/>
      <c r="J20" s="62"/>
      <c r="K20" s="9"/>
      <c r="L20" s="15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1"/>
      <c r="L21" s="17"/>
      <c r="M21" s="35"/>
      <c r="N21" s="36"/>
    </row>
    <row r="22" spans="2:14" ht="18" customHeight="1" x14ac:dyDescent="0.2">
      <c r="B22" s="29"/>
      <c r="C22" s="53"/>
      <c r="D22" s="54"/>
      <c r="E22" s="53"/>
      <c r="F22" s="54"/>
      <c r="G22" s="53"/>
      <c r="H22" s="54"/>
      <c r="I22" s="53"/>
      <c r="J22" s="62"/>
      <c r="K22" s="31" t="s">
        <v>21</v>
      </c>
      <c r="L22" s="14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5"/>
      <c r="M23" s="33"/>
      <c r="N23" s="34"/>
    </row>
    <row r="24" spans="2:14" ht="18" customHeight="1" x14ac:dyDescent="0.2">
      <c r="B24" s="29"/>
      <c r="C24" s="53"/>
      <c r="D24" s="54"/>
      <c r="E24" s="53"/>
      <c r="F24" s="54"/>
      <c r="G24" s="53"/>
      <c r="H24" s="54"/>
      <c r="I24" s="53"/>
      <c r="J24" s="62"/>
      <c r="K24" s="32"/>
      <c r="L24" s="15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5"/>
      <c r="M25" s="33"/>
      <c r="N25" s="34"/>
    </row>
    <row r="26" spans="2:14" ht="18" customHeight="1" x14ac:dyDescent="0.2">
      <c r="B26" s="29">
        <v>0.58333333333333337</v>
      </c>
      <c r="C26" s="53"/>
      <c r="D26" s="54"/>
      <c r="E26" s="53">
        <v>0.58333333333333337</v>
      </c>
      <c r="F26" s="54"/>
      <c r="G26" s="53"/>
      <c r="H26" s="54"/>
      <c r="I26" s="53">
        <v>0.58333333333333337</v>
      </c>
      <c r="J26" s="62"/>
      <c r="K26" s="9"/>
      <c r="L26" s="15"/>
      <c r="M26" s="33"/>
      <c r="N26" s="34"/>
    </row>
    <row r="27" spans="2:14" ht="18" customHeight="1" x14ac:dyDescent="0.2">
      <c r="B27" s="6" t="s">
        <v>28</v>
      </c>
      <c r="C27" s="51"/>
      <c r="D27" s="52"/>
      <c r="E27" s="51" t="s">
        <v>28</v>
      </c>
      <c r="F27" s="52"/>
      <c r="G27" s="51"/>
      <c r="H27" s="52"/>
      <c r="I27" s="59" t="s">
        <v>28</v>
      </c>
      <c r="J27" s="60"/>
      <c r="K27" s="11"/>
      <c r="L27" s="17"/>
      <c r="M27" s="35"/>
      <c r="N27" s="36"/>
    </row>
    <row r="28" spans="2:14" ht="18" customHeight="1" x14ac:dyDescent="0.2">
      <c r="B28" s="29"/>
      <c r="C28" s="53"/>
      <c r="D28" s="54"/>
      <c r="E28" s="53"/>
      <c r="F28" s="54"/>
      <c r="G28" s="53"/>
      <c r="H28" s="54"/>
      <c r="I28" s="53"/>
      <c r="J28" s="62"/>
      <c r="K28" s="31" t="s">
        <v>22</v>
      </c>
      <c r="L28" s="14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5"/>
      <c r="M29" s="33"/>
      <c r="N29" s="34"/>
    </row>
    <row r="30" spans="2:14" ht="18" customHeight="1" x14ac:dyDescent="0.2">
      <c r="B30" s="29"/>
      <c r="C30" s="53">
        <v>0.66666666666666663</v>
      </c>
      <c r="D30" s="54"/>
      <c r="E30" s="53"/>
      <c r="F30" s="54"/>
      <c r="G30" s="53">
        <v>0.66666666666666663</v>
      </c>
      <c r="H30" s="54"/>
      <c r="I30" s="75"/>
      <c r="J30" s="76"/>
      <c r="K30" s="32"/>
      <c r="L30" s="15"/>
      <c r="M30" s="33"/>
      <c r="N30" s="34"/>
    </row>
    <row r="31" spans="2:14" ht="18" customHeight="1" x14ac:dyDescent="0.2">
      <c r="B31" s="6"/>
      <c r="C31" s="51" t="s">
        <v>29</v>
      </c>
      <c r="D31" s="52"/>
      <c r="E31" s="51"/>
      <c r="F31" s="52"/>
      <c r="G31" s="51" t="s">
        <v>29</v>
      </c>
      <c r="H31" s="52"/>
      <c r="I31" s="51"/>
      <c r="J31" s="67"/>
      <c r="K31" s="12"/>
      <c r="L31" s="15"/>
      <c r="M31" s="33"/>
      <c r="N31" s="34"/>
    </row>
    <row r="32" spans="2:14" ht="18" customHeight="1" x14ac:dyDescent="0.2">
      <c r="B32" s="29"/>
      <c r="C32" s="53"/>
      <c r="D32" s="54"/>
      <c r="E32" s="53"/>
      <c r="F32" s="54"/>
      <c r="G32" s="53"/>
      <c r="H32" s="54"/>
      <c r="I32" s="63"/>
      <c r="J32" s="64"/>
      <c r="K32" s="12"/>
      <c r="L32" s="15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3"/>
      <c r="L33" s="18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98" priority="9" stopIfTrue="1">
      <formula>DAY(C4)&gt;8</formula>
    </cfRule>
  </conditionalFormatting>
  <conditionalFormatting sqref="C8:I10">
    <cfRule type="expression" dxfId="97" priority="8" stopIfTrue="1">
      <formula>AND(DAY(C8)&gt;=1,DAY(C8)&lt;=15)</formula>
    </cfRule>
  </conditionalFormatting>
  <conditionalFormatting sqref="C4:I9">
    <cfRule type="expression" dxfId="96" priority="10">
      <formula>VLOOKUP(DAY(C4),OpgaveDage,1,FALSE)=DAY(C4)</formula>
    </cfRule>
  </conditionalFormatting>
  <conditionalFormatting sqref="B14:J14 B16:J16 B18:J18 B17 I17:J17 B20:J26 B28:J30 B32:J33">
    <cfRule type="expression" dxfId="95" priority="6">
      <formula>B14&lt;&gt;""</formula>
    </cfRule>
  </conditionalFormatting>
  <conditionalFormatting sqref="B15:J15">
    <cfRule type="expression" dxfId="94" priority="5">
      <formula>B15&lt;&gt;""</formula>
    </cfRule>
  </conditionalFormatting>
  <conditionalFormatting sqref="C17:H17">
    <cfRule type="expression" dxfId="93" priority="4">
      <formula>C17&lt;&gt;""</formula>
    </cfRule>
  </conditionalFormatting>
  <conditionalFormatting sqref="B19:J19">
    <cfRule type="expression" dxfId="92" priority="3">
      <formula>B19&lt;&gt;""</formula>
    </cfRule>
  </conditionalFormatting>
  <conditionalFormatting sqref="B27:J27">
    <cfRule type="expression" dxfId="91" priority="2">
      <formula>B27&lt;&gt;""</formula>
    </cfRule>
  </conditionalFormatting>
  <conditionalFormatting sqref="B31:J31">
    <cfRule type="expression" dxfId="90" priority="1">
      <formula>B31&lt;&gt;""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8"/>
      <c r="C2" s="19"/>
      <c r="D2" s="19"/>
      <c r="E2" s="19"/>
      <c r="F2" s="19"/>
      <c r="G2" s="19"/>
      <c r="H2" s="19"/>
      <c r="I2" s="19"/>
      <c r="J2" s="20"/>
      <c r="K2" s="42" t="s">
        <v>17</v>
      </c>
      <c r="L2" s="43">
        <v>2013</v>
      </c>
      <c r="M2" s="43"/>
      <c r="N2" s="79">
        <f>Kalenderår</f>
        <v>2015</v>
      </c>
    </row>
    <row r="3" spans="1:14" ht="21" customHeight="1" x14ac:dyDescent="0.2">
      <c r="A3" s="4"/>
      <c r="B3" s="68" t="s">
        <v>9</v>
      </c>
      <c r="C3" s="2" t="s">
        <v>1</v>
      </c>
      <c r="D3" s="2" t="s">
        <v>2</v>
      </c>
      <c r="E3" s="2" t="s">
        <v>32</v>
      </c>
      <c r="F3" s="2" t="s">
        <v>2</v>
      </c>
      <c r="G3" s="2" t="s">
        <v>3</v>
      </c>
      <c r="H3" s="2" t="s">
        <v>33</v>
      </c>
      <c r="I3" s="2" t="s">
        <v>4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8">
        <f>IF(DAY(MarSøn1)=1,MarSøn1-6,MarSøn1+1)</f>
        <v>42058</v>
      </c>
      <c r="D4" s="8">
        <f>IF(DAY(MarSøn1)=1,MarSøn1-5,MarSøn1+2)</f>
        <v>42059</v>
      </c>
      <c r="E4" s="8">
        <f>IF(DAY(MarSøn1)=1,MarSøn1-4,MarSøn1+3)</f>
        <v>42060</v>
      </c>
      <c r="F4" s="8">
        <f>IF(DAY(MarSøn1)=1,MarSøn1-3,MarSøn1+4)</f>
        <v>42061</v>
      </c>
      <c r="G4" s="8">
        <f>IF(DAY(MarSøn1)=1,MarSøn1-2,MarSøn1+5)</f>
        <v>42062</v>
      </c>
      <c r="H4" s="8">
        <f>IF(DAY(MarSøn1)=1,MarSøn1-1,MarSøn1+6)</f>
        <v>42063</v>
      </c>
      <c r="I4" s="8">
        <f>IF(DAY(MarSøn1)=1,MarSøn1,MarSøn1+7)</f>
        <v>42064</v>
      </c>
      <c r="J4" s="5"/>
      <c r="K4" s="46" t="s">
        <v>18</v>
      </c>
      <c r="L4" s="14"/>
      <c r="M4" s="47"/>
      <c r="N4" s="48"/>
    </row>
    <row r="5" spans="1:14" ht="18" customHeight="1" x14ac:dyDescent="0.2">
      <c r="A5" s="4"/>
      <c r="B5" s="26"/>
      <c r="C5" s="8">
        <f>IF(DAY(MarSøn1)=1,MarSøn1+1,MarSøn1+8)</f>
        <v>42065</v>
      </c>
      <c r="D5" s="8">
        <f>IF(DAY(MarSøn1)=1,MarSøn1+2,MarSøn1+9)</f>
        <v>42066</v>
      </c>
      <c r="E5" s="8">
        <f>IF(DAY(MarSøn1)=1,MarSøn1+3,MarSøn1+10)</f>
        <v>42067</v>
      </c>
      <c r="F5" s="8">
        <f>IF(DAY(MarSøn1)=1,MarSøn1+4,MarSøn1+11)</f>
        <v>42068</v>
      </c>
      <c r="G5" s="8">
        <f>IF(DAY(MarSøn1)=1,MarSøn1+5,MarSøn1+12)</f>
        <v>42069</v>
      </c>
      <c r="H5" s="8">
        <f>IF(DAY(MarSøn1)=1,MarSøn1+6,MarSøn1+13)</f>
        <v>42070</v>
      </c>
      <c r="I5" s="8">
        <f>IF(DAY(MarSøn1)=1,MarSøn1+7,MarSøn1+14)</f>
        <v>42071</v>
      </c>
      <c r="J5" s="5"/>
      <c r="K5" s="32"/>
      <c r="L5" s="15"/>
      <c r="M5" s="33"/>
      <c r="N5" s="34"/>
    </row>
    <row r="6" spans="1:14" ht="18" customHeight="1" x14ac:dyDescent="0.2">
      <c r="A6" s="4"/>
      <c r="B6" s="26"/>
      <c r="C6" s="8">
        <f>IF(DAY(MarSøn1)=1,MarSøn1+8,MarSøn1+15)</f>
        <v>42072</v>
      </c>
      <c r="D6" s="8">
        <f>IF(DAY(MarSøn1)=1,MarSøn1+9,MarSøn1+16)</f>
        <v>42073</v>
      </c>
      <c r="E6" s="8">
        <f>IF(DAY(MarSøn1)=1,MarSøn1+10,MarSøn1+17)</f>
        <v>42074</v>
      </c>
      <c r="F6" s="8">
        <f>IF(DAY(MarSøn1)=1,MarSøn1+11,MarSøn1+18)</f>
        <v>42075</v>
      </c>
      <c r="G6" s="8">
        <f>IF(DAY(MarSøn1)=1,MarSøn1+12,MarSøn1+19)</f>
        <v>42076</v>
      </c>
      <c r="H6" s="8">
        <f>IF(DAY(MarSøn1)=1,MarSøn1+13,MarSøn1+20)</f>
        <v>42077</v>
      </c>
      <c r="I6" s="8">
        <f>IF(DAY(MarSøn1)=1,MarSøn1+14,MarSøn1+21)</f>
        <v>42078</v>
      </c>
      <c r="J6" s="5"/>
      <c r="K6" s="32"/>
      <c r="L6" s="15"/>
      <c r="M6" s="33"/>
      <c r="N6" s="34"/>
    </row>
    <row r="7" spans="1:14" ht="18" customHeight="1" x14ac:dyDescent="0.2">
      <c r="A7" s="4"/>
      <c r="B7" s="26"/>
      <c r="C7" s="8">
        <f>IF(DAY(MarSøn1)=1,MarSøn1+15,MarSøn1+22)</f>
        <v>42079</v>
      </c>
      <c r="D7" s="8">
        <f>IF(DAY(MarSøn1)=1,MarSøn1+16,MarSøn1+23)</f>
        <v>42080</v>
      </c>
      <c r="E7" s="8">
        <f>IF(DAY(MarSøn1)=1,MarSøn1+17,MarSøn1+24)</f>
        <v>42081</v>
      </c>
      <c r="F7" s="8">
        <f>IF(DAY(MarSøn1)=1,MarSøn1+18,MarSøn1+25)</f>
        <v>42082</v>
      </c>
      <c r="G7" s="8">
        <f>IF(DAY(MarSøn1)=1,MarSøn1+19,MarSøn1+26)</f>
        <v>42083</v>
      </c>
      <c r="H7" s="8">
        <f>IF(DAY(MarSøn1)=1,MarSøn1+20,MarSøn1+27)</f>
        <v>42084</v>
      </c>
      <c r="I7" s="8">
        <f>IF(DAY(MarSøn1)=1,MarSøn1+21,MarSøn1+28)</f>
        <v>42085</v>
      </c>
      <c r="J7" s="5"/>
      <c r="K7" s="9"/>
      <c r="L7" s="15"/>
      <c r="M7" s="33"/>
      <c r="N7" s="34"/>
    </row>
    <row r="8" spans="1:14" ht="18.75" customHeight="1" x14ac:dyDescent="0.2">
      <c r="A8" s="4"/>
      <c r="B8" s="26"/>
      <c r="C8" s="8">
        <f>IF(DAY(MarSøn1)=1,MarSøn1+22,MarSøn1+29)</f>
        <v>42086</v>
      </c>
      <c r="D8" s="8">
        <f>IF(DAY(MarSøn1)=1,MarSøn1+23,MarSøn1+30)</f>
        <v>42087</v>
      </c>
      <c r="E8" s="8">
        <f>IF(DAY(MarSøn1)=1,MarSøn1+24,MarSøn1+31)</f>
        <v>42088</v>
      </c>
      <c r="F8" s="8">
        <f>IF(DAY(MarSøn1)=1,MarSøn1+25,MarSøn1+32)</f>
        <v>42089</v>
      </c>
      <c r="G8" s="8">
        <f>IF(DAY(MarSøn1)=1,MarSøn1+26,MarSøn1+33)</f>
        <v>42090</v>
      </c>
      <c r="H8" s="8">
        <f>IF(DAY(MarSøn1)=1,MarSøn1+27,MarSøn1+34)</f>
        <v>42091</v>
      </c>
      <c r="I8" s="8">
        <f>IF(DAY(MarSøn1)=1,MarSøn1+28,MarSøn1+35)</f>
        <v>42092</v>
      </c>
      <c r="J8" s="5"/>
      <c r="K8" s="9"/>
      <c r="L8" s="15"/>
      <c r="M8" s="33"/>
      <c r="N8" s="34"/>
    </row>
    <row r="9" spans="1:14" ht="18" customHeight="1" x14ac:dyDescent="0.2">
      <c r="A9" s="4"/>
      <c r="B9" s="26"/>
      <c r="C9" s="8">
        <f>IF(DAY(MarSøn1)=1,MarSøn1+29,MarSøn1+36)</f>
        <v>42093</v>
      </c>
      <c r="D9" s="8">
        <f>IF(DAY(MarSøn1)=1,MarSøn1+30,MarSøn1+37)</f>
        <v>42094</v>
      </c>
      <c r="E9" s="8">
        <f>IF(DAY(MarSøn1)=1,MarSøn1+31,MarSøn1+38)</f>
        <v>42095</v>
      </c>
      <c r="F9" s="8">
        <f>IF(DAY(MarSøn1)=1,MarSøn1+32,MarSøn1+39)</f>
        <v>42096</v>
      </c>
      <c r="G9" s="8">
        <f>IF(DAY(MarSøn1)=1,MarSøn1+33,MarSøn1+40)</f>
        <v>42097</v>
      </c>
      <c r="H9" s="8">
        <f>IF(DAY(MarSøn1)=1,MarSøn1+34,MarSøn1+41)</f>
        <v>42098</v>
      </c>
      <c r="I9" s="8">
        <f>IF(DAY(MarSøn1)=1,MarSøn1+35,MarSøn1+42)</f>
        <v>42099</v>
      </c>
      <c r="J9" s="5"/>
      <c r="K9" s="10"/>
      <c r="L9" s="16"/>
      <c r="M9" s="35"/>
      <c r="N9" s="36"/>
    </row>
    <row r="10" spans="1:14" ht="18" customHeight="1" x14ac:dyDescent="0.2">
      <c r="A10" s="4"/>
      <c r="B10" s="27"/>
      <c r="C10" s="21"/>
      <c r="D10" s="21"/>
      <c r="E10" s="21"/>
      <c r="F10" s="21"/>
      <c r="G10" s="21"/>
      <c r="H10" s="21"/>
      <c r="I10" s="21"/>
      <c r="J10" s="22"/>
      <c r="K10" s="31" t="s">
        <v>19</v>
      </c>
      <c r="L10" s="14"/>
      <c r="M10" s="37"/>
      <c r="N10" s="38"/>
    </row>
    <row r="11" spans="1:14" ht="18" customHeight="1" x14ac:dyDescent="0.2">
      <c r="A11" s="4"/>
      <c r="B11" s="70" t="s">
        <v>31</v>
      </c>
      <c r="C11" s="71"/>
      <c r="D11" s="71"/>
      <c r="E11" s="71"/>
      <c r="F11" s="71"/>
      <c r="G11" s="71"/>
      <c r="H11" s="71"/>
      <c r="I11" s="71"/>
      <c r="J11" s="72"/>
      <c r="K11" s="32"/>
      <c r="L11" s="15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5"/>
      <c r="M12" s="33"/>
      <c r="N12" s="34"/>
    </row>
    <row r="13" spans="1:14" ht="18" customHeight="1" x14ac:dyDescent="0.2">
      <c r="B13" s="3" t="s">
        <v>18</v>
      </c>
      <c r="C13" s="39" t="s">
        <v>19</v>
      </c>
      <c r="D13" s="41"/>
      <c r="E13" s="39" t="s">
        <v>20</v>
      </c>
      <c r="F13" s="41"/>
      <c r="G13" s="39" t="s">
        <v>21</v>
      </c>
      <c r="H13" s="41"/>
      <c r="I13" s="39" t="s">
        <v>22</v>
      </c>
      <c r="J13" s="40"/>
      <c r="K13" s="9"/>
      <c r="L13" s="15"/>
      <c r="M13" s="33"/>
      <c r="N13" s="34"/>
    </row>
    <row r="14" spans="1:14" ht="18" customHeight="1" x14ac:dyDescent="0.2">
      <c r="B14" s="29" t="s">
        <v>5</v>
      </c>
      <c r="C14" s="53"/>
      <c r="D14" s="54"/>
      <c r="E14" s="53" t="s">
        <v>5</v>
      </c>
      <c r="F14" s="54"/>
      <c r="G14" s="53"/>
      <c r="H14" s="54"/>
      <c r="I14" s="53" t="s">
        <v>5</v>
      </c>
      <c r="J14" s="62"/>
      <c r="K14" s="9"/>
      <c r="L14" s="15"/>
      <c r="M14" s="33"/>
      <c r="N14" s="34"/>
    </row>
    <row r="15" spans="1:14" ht="18" customHeight="1" x14ac:dyDescent="0.2">
      <c r="B15" s="6" t="s">
        <v>25</v>
      </c>
      <c r="C15" s="51"/>
      <c r="D15" s="52"/>
      <c r="E15" s="51" t="s">
        <v>25</v>
      </c>
      <c r="F15" s="52"/>
      <c r="G15" s="51"/>
      <c r="H15" s="52"/>
      <c r="I15" s="59" t="s">
        <v>25</v>
      </c>
      <c r="J15" s="60"/>
      <c r="K15" s="11"/>
      <c r="L15" s="17"/>
      <c r="M15" s="35"/>
      <c r="N15" s="36"/>
    </row>
    <row r="16" spans="1:14" ht="18" customHeight="1" x14ac:dyDescent="0.2">
      <c r="B16" s="29"/>
      <c r="C16" s="53" t="s">
        <v>6</v>
      </c>
      <c r="D16" s="54"/>
      <c r="E16" s="53"/>
      <c r="F16" s="54"/>
      <c r="G16" s="53" t="s">
        <v>6</v>
      </c>
      <c r="H16" s="54"/>
      <c r="I16" s="63"/>
      <c r="J16" s="64"/>
      <c r="K16" s="31" t="s">
        <v>20</v>
      </c>
      <c r="L16" s="14"/>
      <c r="M16" s="37"/>
      <c r="N16" s="38"/>
    </row>
    <row r="17" spans="2:14" ht="18" customHeight="1" x14ac:dyDescent="0.2">
      <c r="B17" s="6"/>
      <c r="C17" s="51" t="s">
        <v>26</v>
      </c>
      <c r="D17" s="52"/>
      <c r="E17" s="51"/>
      <c r="F17" s="52"/>
      <c r="G17" s="51" t="s">
        <v>26</v>
      </c>
      <c r="H17" s="52"/>
      <c r="I17" s="59"/>
      <c r="J17" s="60"/>
      <c r="K17" s="32"/>
      <c r="L17" s="15"/>
      <c r="M17" s="33"/>
      <c r="N17" s="34"/>
    </row>
    <row r="18" spans="2:14" ht="18" customHeight="1" x14ac:dyDescent="0.2">
      <c r="B18" s="30" t="s">
        <v>7</v>
      </c>
      <c r="C18" s="55"/>
      <c r="D18" s="56"/>
      <c r="E18" s="55" t="s">
        <v>7</v>
      </c>
      <c r="F18" s="56"/>
      <c r="G18" s="55"/>
      <c r="H18" s="56"/>
      <c r="I18" s="55" t="s">
        <v>7</v>
      </c>
      <c r="J18" s="61"/>
      <c r="K18" s="32"/>
      <c r="L18" s="15"/>
      <c r="M18" s="33"/>
      <c r="N18" s="34"/>
    </row>
    <row r="19" spans="2:14" ht="18" customHeight="1" x14ac:dyDescent="0.2">
      <c r="B19" s="6" t="s">
        <v>27</v>
      </c>
      <c r="C19" s="51"/>
      <c r="D19" s="52"/>
      <c r="E19" s="51" t="s">
        <v>27</v>
      </c>
      <c r="F19" s="52"/>
      <c r="G19" s="51"/>
      <c r="H19" s="52"/>
      <c r="I19" s="59" t="s">
        <v>27</v>
      </c>
      <c r="J19" s="60"/>
      <c r="K19" s="9"/>
      <c r="L19" s="15"/>
      <c r="M19" s="33"/>
      <c r="N19" s="34"/>
    </row>
    <row r="20" spans="2:14" ht="18" customHeight="1" x14ac:dyDescent="0.2">
      <c r="B20" s="29"/>
      <c r="C20" s="53"/>
      <c r="D20" s="54"/>
      <c r="E20" s="53"/>
      <c r="F20" s="54"/>
      <c r="G20" s="53"/>
      <c r="H20" s="54"/>
      <c r="I20" s="53"/>
      <c r="J20" s="62"/>
      <c r="K20" s="9"/>
      <c r="L20" s="15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1"/>
      <c r="L21" s="17"/>
      <c r="M21" s="35"/>
      <c r="N21" s="36"/>
    </row>
    <row r="22" spans="2:14" ht="18" customHeight="1" x14ac:dyDescent="0.2">
      <c r="B22" s="29"/>
      <c r="C22" s="53"/>
      <c r="D22" s="54"/>
      <c r="E22" s="53"/>
      <c r="F22" s="54"/>
      <c r="G22" s="53"/>
      <c r="H22" s="54"/>
      <c r="I22" s="53"/>
      <c r="J22" s="62"/>
      <c r="K22" s="31" t="s">
        <v>21</v>
      </c>
      <c r="L22" s="14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5"/>
      <c r="M23" s="33"/>
      <c r="N23" s="34"/>
    </row>
    <row r="24" spans="2:14" ht="18" customHeight="1" x14ac:dyDescent="0.2">
      <c r="B24" s="29"/>
      <c r="C24" s="53"/>
      <c r="D24" s="54"/>
      <c r="E24" s="53"/>
      <c r="F24" s="54"/>
      <c r="G24" s="53"/>
      <c r="H24" s="54"/>
      <c r="I24" s="53"/>
      <c r="J24" s="62"/>
      <c r="K24" s="32"/>
      <c r="L24" s="15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5"/>
      <c r="M25" s="33"/>
      <c r="N25" s="34"/>
    </row>
    <row r="26" spans="2:14" ht="18" customHeight="1" x14ac:dyDescent="0.2">
      <c r="B26" s="29">
        <v>0.58333333333333337</v>
      </c>
      <c r="C26" s="53"/>
      <c r="D26" s="54"/>
      <c r="E26" s="53">
        <v>0.58333333333333337</v>
      </c>
      <c r="F26" s="54"/>
      <c r="G26" s="53"/>
      <c r="H26" s="54"/>
      <c r="I26" s="53">
        <v>0.58333333333333337</v>
      </c>
      <c r="J26" s="62"/>
      <c r="K26" s="9"/>
      <c r="L26" s="15"/>
      <c r="M26" s="33"/>
      <c r="N26" s="34"/>
    </row>
    <row r="27" spans="2:14" ht="18" customHeight="1" x14ac:dyDescent="0.2">
      <c r="B27" s="6" t="s">
        <v>28</v>
      </c>
      <c r="C27" s="51"/>
      <c r="D27" s="52"/>
      <c r="E27" s="51" t="s">
        <v>28</v>
      </c>
      <c r="F27" s="52"/>
      <c r="G27" s="51"/>
      <c r="H27" s="52"/>
      <c r="I27" s="59" t="s">
        <v>28</v>
      </c>
      <c r="J27" s="60"/>
      <c r="K27" s="11"/>
      <c r="L27" s="17"/>
      <c r="M27" s="35"/>
      <c r="N27" s="36"/>
    </row>
    <row r="28" spans="2:14" ht="18" customHeight="1" x14ac:dyDescent="0.2">
      <c r="B28" s="29"/>
      <c r="C28" s="53"/>
      <c r="D28" s="54"/>
      <c r="E28" s="53"/>
      <c r="F28" s="54"/>
      <c r="G28" s="53"/>
      <c r="H28" s="54"/>
      <c r="I28" s="53"/>
      <c r="J28" s="62"/>
      <c r="K28" s="31" t="s">
        <v>22</v>
      </c>
      <c r="L28" s="14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5"/>
      <c r="M29" s="33"/>
      <c r="N29" s="34"/>
    </row>
    <row r="30" spans="2:14" ht="18" customHeight="1" x14ac:dyDescent="0.2">
      <c r="B30" s="29"/>
      <c r="C30" s="53">
        <v>0.66666666666666663</v>
      </c>
      <c r="D30" s="54"/>
      <c r="E30" s="53"/>
      <c r="F30" s="54"/>
      <c r="G30" s="53">
        <v>0.66666666666666663</v>
      </c>
      <c r="H30" s="54"/>
      <c r="I30" s="75"/>
      <c r="J30" s="76"/>
      <c r="K30" s="32"/>
      <c r="L30" s="15"/>
      <c r="M30" s="33"/>
      <c r="N30" s="34"/>
    </row>
    <row r="31" spans="2:14" ht="18" customHeight="1" x14ac:dyDescent="0.2">
      <c r="B31" s="6"/>
      <c r="C31" s="51" t="s">
        <v>29</v>
      </c>
      <c r="D31" s="52"/>
      <c r="E31" s="51"/>
      <c r="F31" s="52"/>
      <c r="G31" s="51" t="s">
        <v>29</v>
      </c>
      <c r="H31" s="52"/>
      <c r="I31" s="51"/>
      <c r="J31" s="67"/>
      <c r="K31" s="12"/>
      <c r="L31" s="15"/>
      <c r="M31" s="33"/>
      <c r="N31" s="34"/>
    </row>
    <row r="32" spans="2:14" ht="18" customHeight="1" x14ac:dyDescent="0.2">
      <c r="B32" s="29"/>
      <c r="C32" s="53"/>
      <c r="D32" s="54"/>
      <c r="E32" s="53"/>
      <c r="F32" s="54"/>
      <c r="G32" s="53"/>
      <c r="H32" s="54"/>
      <c r="I32" s="63"/>
      <c r="J32" s="64"/>
      <c r="K32" s="12"/>
      <c r="L32" s="15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3"/>
      <c r="L33" s="18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89" priority="9" stopIfTrue="1">
      <formula>DAY(C4)&gt;8</formula>
    </cfRule>
  </conditionalFormatting>
  <conditionalFormatting sqref="C8:I10">
    <cfRule type="expression" dxfId="88" priority="8" stopIfTrue="1">
      <formula>AND(DAY(C8)&gt;=1,DAY(C8)&lt;=15)</formula>
    </cfRule>
  </conditionalFormatting>
  <conditionalFormatting sqref="C4:I9">
    <cfRule type="expression" dxfId="87" priority="10">
      <formula>VLOOKUP(DAY(C4),OpgaveDage,1,FALSE)=DAY(C4)</formula>
    </cfRule>
  </conditionalFormatting>
  <conditionalFormatting sqref="B14:J14 B16:J16 B18:J18 B17 I17:J17 B20:J26 B28:J30 B32:J33">
    <cfRule type="expression" dxfId="86" priority="6">
      <formula>B14&lt;&gt;""</formula>
    </cfRule>
  </conditionalFormatting>
  <conditionalFormatting sqref="B15:J15">
    <cfRule type="expression" dxfId="85" priority="5">
      <formula>B15&lt;&gt;""</formula>
    </cfRule>
  </conditionalFormatting>
  <conditionalFormatting sqref="C17:H17">
    <cfRule type="expression" dxfId="84" priority="4">
      <formula>C17&lt;&gt;""</formula>
    </cfRule>
  </conditionalFormatting>
  <conditionalFormatting sqref="B19:J19">
    <cfRule type="expression" dxfId="83" priority="3">
      <formula>B19&lt;&gt;""</formula>
    </cfRule>
  </conditionalFormatting>
  <conditionalFormatting sqref="B27:J27">
    <cfRule type="expression" dxfId="82" priority="2">
      <formula>B27&lt;&gt;""</formula>
    </cfRule>
  </conditionalFormatting>
  <conditionalFormatting sqref="B31:J31">
    <cfRule type="expression" dxfId="81" priority="1">
      <formula>B31&lt;&gt;""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8"/>
      <c r="C2" s="19"/>
      <c r="D2" s="19"/>
      <c r="E2" s="19"/>
      <c r="F2" s="19"/>
      <c r="G2" s="19"/>
      <c r="H2" s="19"/>
      <c r="I2" s="19"/>
      <c r="J2" s="20"/>
      <c r="K2" s="42" t="s">
        <v>17</v>
      </c>
      <c r="L2" s="43">
        <v>2013</v>
      </c>
      <c r="M2" s="43"/>
      <c r="N2" s="79">
        <f>Kalenderår</f>
        <v>2015</v>
      </c>
    </row>
    <row r="3" spans="1:14" ht="21" customHeight="1" x14ac:dyDescent="0.2">
      <c r="A3" s="4"/>
      <c r="B3" s="68" t="s">
        <v>10</v>
      </c>
      <c r="C3" s="2" t="s">
        <v>1</v>
      </c>
      <c r="D3" s="2" t="s">
        <v>2</v>
      </c>
      <c r="E3" s="2" t="s">
        <v>32</v>
      </c>
      <c r="F3" s="2" t="s">
        <v>2</v>
      </c>
      <c r="G3" s="2" t="s">
        <v>3</v>
      </c>
      <c r="H3" s="2" t="s">
        <v>33</v>
      </c>
      <c r="I3" s="2" t="s">
        <v>4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8">
        <f>IF(DAY(AprSøn1)=1,AprSøn1-6,AprSøn1+1)</f>
        <v>42093</v>
      </c>
      <c r="D4" s="8">
        <f>IF(DAY(AprSøn1)=1,AprSøn1-5,AprSøn1+2)</f>
        <v>42094</v>
      </c>
      <c r="E4" s="8">
        <f>IF(DAY(AprSøn1)=1,AprSøn1-4,AprSøn1+3)</f>
        <v>42095</v>
      </c>
      <c r="F4" s="8">
        <f>IF(DAY(AprSøn1)=1,AprSøn1-3,AprSøn1+4)</f>
        <v>42096</v>
      </c>
      <c r="G4" s="8">
        <f>IF(DAY(AprSøn1)=1,AprSøn1-2,AprSøn1+5)</f>
        <v>42097</v>
      </c>
      <c r="H4" s="8">
        <f>IF(DAY(AprSøn1)=1,AprSøn1-1,AprSøn1+6)</f>
        <v>42098</v>
      </c>
      <c r="I4" s="8">
        <f>IF(DAY(AprSøn1)=1,AprSøn1,AprSøn1+7)</f>
        <v>42099</v>
      </c>
      <c r="J4" s="5"/>
      <c r="K4" s="46" t="s">
        <v>18</v>
      </c>
      <c r="L4" s="14"/>
      <c r="M4" s="47"/>
      <c r="N4" s="48"/>
    </row>
    <row r="5" spans="1:14" ht="18" customHeight="1" x14ac:dyDescent="0.2">
      <c r="A5" s="4"/>
      <c r="B5" s="26"/>
      <c r="C5" s="8">
        <f>IF(DAY(AprSøn1)=1,AprSøn1+1,AprSøn1+8)</f>
        <v>42100</v>
      </c>
      <c r="D5" s="8">
        <f>IF(DAY(AprSøn1)=1,AprSøn1+2,AprSøn1+9)</f>
        <v>42101</v>
      </c>
      <c r="E5" s="8">
        <f>IF(DAY(AprSøn1)=1,AprSøn1+3,AprSøn1+10)</f>
        <v>42102</v>
      </c>
      <c r="F5" s="8">
        <f>IF(DAY(AprSøn1)=1,AprSøn1+4,AprSøn1+11)</f>
        <v>42103</v>
      </c>
      <c r="G5" s="8">
        <f>IF(DAY(AprSøn1)=1,AprSøn1+5,AprSøn1+12)</f>
        <v>42104</v>
      </c>
      <c r="H5" s="8">
        <f>IF(DAY(AprSøn1)=1,AprSøn1+6,AprSøn1+13)</f>
        <v>42105</v>
      </c>
      <c r="I5" s="8">
        <f>IF(DAY(AprSøn1)=1,AprSøn1+7,AprSøn1+14)</f>
        <v>42106</v>
      </c>
      <c r="J5" s="5"/>
      <c r="K5" s="32"/>
      <c r="L5" s="15"/>
      <c r="M5" s="33"/>
      <c r="N5" s="34"/>
    </row>
    <row r="6" spans="1:14" ht="18" customHeight="1" x14ac:dyDescent="0.2">
      <c r="A6" s="4"/>
      <c r="B6" s="26"/>
      <c r="C6" s="8">
        <f>IF(DAY(AprSøn1)=1,AprSøn1+8,AprSøn1+15)</f>
        <v>42107</v>
      </c>
      <c r="D6" s="8">
        <f>IF(DAY(AprSøn1)=1,AprSøn1+9,AprSøn1+16)</f>
        <v>42108</v>
      </c>
      <c r="E6" s="8">
        <f>IF(DAY(AprSøn1)=1,AprSøn1+10,AprSøn1+17)</f>
        <v>42109</v>
      </c>
      <c r="F6" s="8">
        <f>IF(DAY(AprSøn1)=1,AprSøn1+11,AprSøn1+18)</f>
        <v>42110</v>
      </c>
      <c r="G6" s="8">
        <f>IF(DAY(AprSøn1)=1,AprSøn1+12,AprSøn1+19)</f>
        <v>42111</v>
      </c>
      <c r="H6" s="8">
        <f>IF(DAY(AprSøn1)=1,AprSøn1+13,AprSøn1+20)</f>
        <v>42112</v>
      </c>
      <c r="I6" s="8">
        <f>IF(DAY(AprSøn1)=1,AprSøn1+14,AprSøn1+21)</f>
        <v>42113</v>
      </c>
      <c r="J6" s="5"/>
      <c r="K6" s="32"/>
      <c r="L6" s="15"/>
      <c r="M6" s="33"/>
      <c r="N6" s="34"/>
    </row>
    <row r="7" spans="1:14" ht="18" customHeight="1" x14ac:dyDescent="0.2">
      <c r="A7" s="4"/>
      <c r="B7" s="26"/>
      <c r="C7" s="8">
        <f>IF(DAY(AprSøn1)=1,AprSøn1+15,AprSøn1+22)</f>
        <v>42114</v>
      </c>
      <c r="D7" s="8">
        <f>IF(DAY(AprSøn1)=1,AprSøn1+16,AprSøn1+23)</f>
        <v>42115</v>
      </c>
      <c r="E7" s="8">
        <f>IF(DAY(AprSøn1)=1,AprSøn1+17,AprSøn1+24)</f>
        <v>42116</v>
      </c>
      <c r="F7" s="8">
        <f>IF(DAY(AprSøn1)=1,AprSøn1+18,AprSøn1+25)</f>
        <v>42117</v>
      </c>
      <c r="G7" s="8">
        <f>IF(DAY(AprSøn1)=1,AprSøn1+19,AprSøn1+26)</f>
        <v>42118</v>
      </c>
      <c r="H7" s="8">
        <f>IF(DAY(AprSøn1)=1,AprSøn1+20,AprSøn1+27)</f>
        <v>42119</v>
      </c>
      <c r="I7" s="8">
        <f>IF(DAY(AprSøn1)=1,AprSøn1+21,AprSøn1+28)</f>
        <v>42120</v>
      </c>
      <c r="J7" s="5"/>
      <c r="K7" s="9"/>
      <c r="L7" s="15"/>
      <c r="M7" s="33"/>
      <c r="N7" s="34"/>
    </row>
    <row r="8" spans="1:14" ht="18.75" customHeight="1" x14ac:dyDescent="0.2">
      <c r="A8" s="4"/>
      <c r="B8" s="26"/>
      <c r="C8" s="8">
        <f>IF(DAY(AprSøn1)=1,AprSøn1+22,AprSøn1+29)</f>
        <v>42121</v>
      </c>
      <c r="D8" s="8">
        <f>IF(DAY(AprSøn1)=1,AprSøn1+23,AprSøn1+30)</f>
        <v>42122</v>
      </c>
      <c r="E8" s="8">
        <f>IF(DAY(AprSøn1)=1,AprSøn1+24,AprSøn1+31)</f>
        <v>42123</v>
      </c>
      <c r="F8" s="8">
        <f>IF(DAY(AprSøn1)=1,AprSøn1+25,AprSøn1+32)</f>
        <v>42124</v>
      </c>
      <c r="G8" s="8">
        <f>IF(DAY(AprSøn1)=1,AprSøn1+26,AprSøn1+33)</f>
        <v>42125</v>
      </c>
      <c r="H8" s="8">
        <f>IF(DAY(AprSøn1)=1,AprSøn1+27,AprSøn1+34)</f>
        <v>42126</v>
      </c>
      <c r="I8" s="8">
        <f>IF(DAY(AprSøn1)=1,AprSøn1+28,AprSøn1+35)</f>
        <v>42127</v>
      </c>
      <c r="J8" s="5"/>
      <c r="K8" s="9"/>
      <c r="L8" s="15"/>
      <c r="M8" s="33"/>
      <c r="N8" s="34"/>
    </row>
    <row r="9" spans="1:14" ht="18" customHeight="1" x14ac:dyDescent="0.2">
      <c r="A9" s="4"/>
      <c r="B9" s="26"/>
      <c r="C9" s="8">
        <f>IF(DAY(AprSøn1)=1,AprSøn1+29,AprSøn1+36)</f>
        <v>42128</v>
      </c>
      <c r="D9" s="8">
        <f>IF(DAY(AprSøn1)=1,AprSøn1+30,AprSøn1+37)</f>
        <v>42129</v>
      </c>
      <c r="E9" s="8">
        <f>IF(DAY(AprSøn1)=1,AprSøn1+31,AprSøn1+38)</f>
        <v>42130</v>
      </c>
      <c r="F9" s="8">
        <f>IF(DAY(AprSøn1)=1,AprSøn1+32,AprSøn1+39)</f>
        <v>42131</v>
      </c>
      <c r="G9" s="8">
        <f>IF(DAY(AprSøn1)=1,AprSøn1+33,AprSøn1+40)</f>
        <v>42132</v>
      </c>
      <c r="H9" s="8">
        <f>IF(DAY(AprSøn1)=1,AprSøn1+34,AprSøn1+41)</f>
        <v>42133</v>
      </c>
      <c r="I9" s="8">
        <f>IF(DAY(AprSøn1)=1,AprSøn1+35,AprSøn1+42)</f>
        <v>42134</v>
      </c>
      <c r="J9" s="5"/>
      <c r="K9" s="10"/>
      <c r="L9" s="16"/>
      <c r="M9" s="35"/>
      <c r="N9" s="36"/>
    </row>
    <row r="10" spans="1:14" ht="18" customHeight="1" x14ac:dyDescent="0.2">
      <c r="A10" s="4"/>
      <c r="B10" s="27"/>
      <c r="C10" s="21"/>
      <c r="D10" s="21"/>
      <c r="E10" s="21"/>
      <c r="F10" s="21"/>
      <c r="G10" s="21"/>
      <c r="H10" s="21"/>
      <c r="I10" s="21"/>
      <c r="J10" s="22"/>
      <c r="K10" s="31" t="s">
        <v>19</v>
      </c>
      <c r="L10" s="14"/>
      <c r="M10" s="37"/>
      <c r="N10" s="38"/>
    </row>
    <row r="11" spans="1:14" ht="18" customHeight="1" x14ac:dyDescent="0.2">
      <c r="A11" s="4"/>
      <c r="B11" s="70" t="s">
        <v>31</v>
      </c>
      <c r="C11" s="71"/>
      <c r="D11" s="71"/>
      <c r="E11" s="71"/>
      <c r="F11" s="71"/>
      <c r="G11" s="71"/>
      <c r="H11" s="71"/>
      <c r="I11" s="71"/>
      <c r="J11" s="72"/>
      <c r="K11" s="32"/>
      <c r="L11" s="15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5"/>
      <c r="M12" s="33"/>
      <c r="N12" s="34"/>
    </row>
    <row r="13" spans="1:14" ht="18" customHeight="1" x14ac:dyDescent="0.2">
      <c r="B13" s="3" t="s">
        <v>18</v>
      </c>
      <c r="C13" s="39" t="s">
        <v>19</v>
      </c>
      <c r="D13" s="41"/>
      <c r="E13" s="39" t="s">
        <v>20</v>
      </c>
      <c r="F13" s="41"/>
      <c r="G13" s="39" t="s">
        <v>21</v>
      </c>
      <c r="H13" s="41"/>
      <c r="I13" s="39" t="s">
        <v>22</v>
      </c>
      <c r="J13" s="40"/>
      <c r="K13" s="9"/>
      <c r="L13" s="15"/>
      <c r="M13" s="33"/>
      <c r="N13" s="34"/>
    </row>
    <row r="14" spans="1:14" ht="18" customHeight="1" x14ac:dyDescent="0.2">
      <c r="B14" s="29" t="s">
        <v>5</v>
      </c>
      <c r="C14" s="53"/>
      <c r="D14" s="54"/>
      <c r="E14" s="53" t="s">
        <v>5</v>
      </c>
      <c r="F14" s="54"/>
      <c r="G14" s="53"/>
      <c r="H14" s="54"/>
      <c r="I14" s="53" t="s">
        <v>5</v>
      </c>
      <c r="J14" s="62"/>
      <c r="K14" s="9"/>
      <c r="L14" s="15"/>
      <c r="M14" s="33"/>
      <c r="N14" s="34"/>
    </row>
    <row r="15" spans="1:14" ht="18" customHeight="1" x14ac:dyDescent="0.2">
      <c r="B15" s="6" t="s">
        <v>25</v>
      </c>
      <c r="C15" s="51"/>
      <c r="D15" s="52"/>
      <c r="E15" s="51" t="s">
        <v>25</v>
      </c>
      <c r="F15" s="52"/>
      <c r="G15" s="51"/>
      <c r="H15" s="52"/>
      <c r="I15" s="59" t="s">
        <v>25</v>
      </c>
      <c r="J15" s="60"/>
      <c r="K15" s="11"/>
      <c r="L15" s="17"/>
      <c r="M15" s="35"/>
      <c r="N15" s="36"/>
    </row>
    <row r="16" spans="1:14" ht="18" customHeight="1" x14ac:dyDescent="0.2">
      <c r="B16" s="29"/>
      <c r="C16" s="53" t="s">
        <v>6</v>
      </c>
      <c r="D16" s="54"/>
      <c r="E16" s="53"/>
      <c r="F16" s="54"/>
      <c r="G16" s="53" t="s">
        <v>6</v>
      </c>
      <c r="H16" s="54"/>
      <c r="I16" s="63"/>
      <c r="J16" s="64"/>
      <c r="K16" s="31" t="s">
        <v>20</v>
      </c>
      <c r="L16" s="14"/>
      <c r="M16" s="37"/>
      <c r="N16" s="38"/>
    </row>
    <row r="17" spans="2:14" ht="18" customHeight="1" x14ac:dyDescent="0.2">
      <c r="B17" s="6"/>
      <c r="C17" s="51" t="s">
        <v>26</v>
      </c>
      <c r="D17" s="52"/>
      <c r="E17" s="51"/>
      <c r="F17" s="52"/>
      <c r="G17" s="51" t="s">
        <v>26</v>
      </c>
      <c r="H17" s="52"/>
      <c r="I17" s="59"/>
      <c r="J17" s="60"/>
      <c r="K17" s="32"/>
      <c r="L17" s="15"/>
      <c r="M17" s="33"/>
      <c r="N17" s="34"/>
    </row>
    <row r="18" spans="2:14" ht="18" customHeight="1" x14ac:dyDescent="0.2">
      <c r="B18" s="30" t="s">
        <v>7</v>
      </c>
      <c r="C18" s="55"/>
      <c r="D18" s="56"/>
      <c r="E18" s="55" t="s">
        <v>7</v>
      </c>
      <c r="F18" s="56"/>
      <c r="G18" s="55"/>
      <c r="H18" s="56"/>
      <c r="I18" s="55" t="s">
        <v>7</v>
      </c>
      <c r="J18" s="61"/>
      <c r="K18" s="32"/>
      <c r="L18" s="15"/>
      <c r="M18" s="33"/>
      <c r="N18" s="34"/>
    </row>
    <row r="19" spans="2:14" ht="18" customHeight="1" x14ac:dyDescent="0.2">
      <c r="B19" s="6" t="s">
        <v>27</v>
      </c>
      <c r="C19" s="51"/>
      <c r="D19" s="52"/>
      <c r="E19" s="51" t="s">
        <v>27</v>
      </c>
      <c r="F19" s="52"/>
      <c r="G19" s="51"/>
      <c r="H19" s="52"/>
      <c r="I19" s="59" t="s">
        <v>27</v>
      </c>
      <c r="J19" s="60"/>
      <c r="K19" s="9"/>
      <c r="L19" s="15"/>
      <c r="M19" s="33"/>
      <c r="N19" s="34"/>
    </row>
    <row r="20" spans="2:14" ht="18" customHeight="1" x14ac:dyDescent="0.2">
      <c r="B20" s="29"/>
      <c r="C20" s="53"/>
      <c r="D20" s="54"/>
      <c r="E20" s="53"/>
      <c r="F20" s="54"/>
      <c r="G20" s="53"/>
      <c r="H20" s="54"/>
      <c r="I20" s="53"/>
      <c r="J20" s="62"/>
      <c r="K20" s="9"/>
      <c r="L20" s="15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1"/>
      <c r="L21" s="17"/>
      <c r="M21" s="35"/>
      <c r="N21" s="36"/>
    </row>
    <row r="22" spans="2:14" ht="18" customHeight="1" x14ac:dyDescent="0.2">
      <c r="B22" s="29"/>
      <c r="C22" s="53"/>
      <c r="D22" s="54"/>
      <c r="E22" s="53"/>
      <c r="F22" s="54"/>
      <c r="G22" s="53"/>
      <c r="H22" s="54"/>
      <c r="I22" s="53"/>
      <c r="J22" s="62"/>
      <c r="K22" s="31" t="s">
        <v>21</v>
      </c>
      <c r="L22" s="14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5"/>
      <c r="M23" s="33"/>
      <c r="N23" s="34"/>
    </row>
    <row r="24" spans="2:14" ht="18" customHeight="1" x14ac:dyDescent="0.2">
      <c r="B24" s="29"/>
      <c r="C24" s="53"/>
      <c r="D24" s="54"/>
      <c r="E24" s="53"/>
      <c r="F24" s="54"/>
      <c r="G24" s="53"/>
      <c r="H24" s="54"/>
      <c r="I24" s="53"/>
      <c r="J24" s="62"/>
      <c r="K24" s="32"/>
      <c r="L24" s="15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5"/>
      <c r="M25" s="33"/>
      <c r="N25" s="34"/>
    </row>
    <row r="26" spans="2:14" ht="18" customHeight="1" x14ac:dyDescent="0.2">
      <c r="B26" s="29">
        <v>0.58333333333333337</v>
      </c>
      <c r="C26" s="53"/>
      <c r="D26" s="54"/>
      <c r="E26" s="53">
        <v>0.58333333333333337</v>
      </c>
      <c r="F26" s="54"/>
      <c r="G26" s="53"/>
      <c r="H26" s="54"/>
      <c r="I26" s="53">
        <v>0.58333333333333337</v>
      </c>
      <c r="J26" s="62"/>
      <c r="K26" s="9"/>
      <c r="L26" s="15"/>
      <c r="M26" s="33"/>
      <c r="N26" s="34"/>
    </row>
    <row r="27" spans="2:14" ht="18" customHeight="1" x14ac:dyDescent="0.2">
      <c r="B27" s="6" t="s">
        <v>28</v>
      </c>
      <c r="C27" s="51"/>
      <c r="D27" s="52"/>
      <c r="E27" s="51" t="s">
        <v>28</v>
      </c>
      <c r="F27" s="52"/>
      <c r="G27" s="51"/>
      <c r="H27" s="52"/>
      <c r="I27" s="59" t="s">
        <v>28</v>
      </c>
      <c r="J27" s="60"/>
      <c r="K27" s="11"/>
      <c r="L27" s="17"/>
      <c r="M27" s="35"/>
      <c r="N27" s="36"/>
    </row>
    <row r="28" spans="2:14" ht="18" customHeight="1" x14ac:dyDescent="0.2">
      <c r="B28" s="29"/>
      <c r="C28" s="53"/>
      <c r="D28" s="54"/>
      <c r="E28" s="53"/>
      <c r="F28" s="54"/>
      <c r="G28" s="53"/>
      <c r="H28" s="54"/>
      <c r="I28" s="53"/>
      <c r="J28" s="62"/>
      <c r="K28" s="31" t="s">
        <v>22</v>
      </c>
      <c r="L28" s="14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5"/>
      <c r="M29" s="33"/>
      <c r="N29" s="34"/>
    </row>
    <row r="30" spans="2:14" ht="18" customHeight="1" x14ac:dyDescent="0.2">
      <c r="B30" s="29"/>
      <c r="C30" s="53">
        <v>0.66666666666666663</v>
      </c>
      <c r="D30" s="54"/>
      <c r="E30" s="53"/>
      <c r="F30" s="54"/>
      <c r="G30" s="53">
        <v>0.66666666666666663</v>
      </c>
      <c r="H30" s="54"/>
      <c r="I30" s="75"/>
      <c r="J30" s="76"/>
      <c r="K30" s="32"/>
      <c r="L30" s="15"/>
      <c r="M30" s="33"/>
      <c r="N30" s="34"/>
    </row>
    <row r="31" spans="2:14" ht="18" customHeight="1" x14ac:dyDescent="0.2">
      <c r="B31" s="6"/>
      <c r="C31" s="51" t="s">
        <v>29</v>
      </c>
      <c r="D31" s="52"/>
      <c r="E31" s="51"/>
      <c r="F31" s="52"/>
      <c r="G31" s="51" t="s">
        <v>29</v>
      </c>
      <c r="H31" s="52"/>
      <c r="I31" s="51"/>
      <c r="J31" s="67"/>
      <c r="K31" s="12"/>
      <c r="L31" s="15"/>
      <c r="M31" s="33"/>
      <c r="N31" s="34"/>
    </row>
    <row r="32" spans="2:14" ht="18" customHeight="1" x14ac:dyDescent="0.2">
      <c r="B32" s="29"/>
      <c r="C32" s="53"/>
      <c r="D32" s="54"/>
      <c r="E32" s="53"/>
      <c r="F32" s="54"/>
      <c r="G32" s="53"/>
      <c r="H32" s="54"/>
      <c r="I32" s="63"/>
      <c r="J32" s="64"/>
      <c r="K32" s="12"/>
      <c r="L32" s="15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3"/>
      <c r="L33" s="18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80" priority="9" stopIfTrue="1">
      <formula>DAY(C4)&gt;8</formula>
    </cfRule>
  </conditionalFormatting>
  <conditionalFormatting sqref="C8:I10">
    <cfRule type="expression" dxfId="79" priority="8" stopIfTrue="1">
      <formula>AND(DAY(C8)&gt;=1,DAY(C8)&lt;=15)</formula>
    </cfRule>
  </conditionalFormatting>
  <conditionalFormatting sqref="C4:I9">
    <cfRule type="expression" dxfId="78" priority="10">
      <formula>VLOOKUP(DAY(C4),OpgaveDage,1,FALSE)=DAY(C4)</formula>
    </cfRule>
  </conditionalFormatting>
  <conditionalFormatting sqref="B14:J14 B16:J16 B18:J18 B17 I17:J17 B20:J26 B28:J30 B32:J33">
    <cfRule type="expression" dxfId="77" priority="6">
      <formula>B14&lt;&gt;""</formula>
    </cfRule>
  </conditionalFormatting>
  <conditionalFormatting sqref="B15:J15">
    <cfRule type="expression" dxfId="76" priority="5">
      <formula>B15&lt;&gt;""</formula>
    </cfRule>
  </conditionalFormatting>
  <conditionalFormatting sqref="C17:H17">
    <cfRule type="expression" dxfId="75" priority="4">
      <formula>C17&lt;&gt;""</formula>
    </cfRule>
  </conditionalFormatting>
  <conditionalFormatting sqref="B19:J19">
    <cfRule type="expression" dxfId="74" priority="3">
      <formula>B19&lt;&gt;""</formula>
    </cfRule>
  </conditionalFormatting>
  <conditionalFormatting sqref="B27:J27">
    <cfRule type="expression" dxfId="73" priority="2">
      <formula>B27&lt;&gt;""</formula>
    </cfRule>
  </conditionalFormatting>
  <conditionalFormatting sqref="B31:J31">
    <cfRule type="expression" dxfId="72" priority="1">
      <formula>B31&lt;&gt;""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8"/>
      <c r="C2" s="19"/>
      <c r="D2" s="19"/>
      <c r="E2" s="19"/>
      <c r="F2" s="19"/>
      <c r="G2" s="19"/>
      <c r="H2" s="19"/>
      <c r="I2" s="19"/>
      <c r="J2" s="20"/>
      <c r="K2" s="42" t="s">
        <v>17</v>
      </c>
      <c r="L2" s="43">
        <v>2013</v>
      </c>
      <c r="M2" s="43"/>
      <c r="N2" s="79">
        <f>Kalenderår</f>
        <v>2015</v>
      </c>
    </row>
    <row r="3" spans="1:14" ht="21" customHeight="1" x14ac:dyDescent="0.2">
      <c r="A3" s="4"/>
      <c r="B3" s="68" t="s">
        <v>23</v>
      </c>
      <c r="C3" s="2" t="s">
        <v>1</v>
      </c>
      <c r="D3" s="2" t="s">
        <v>2</v>
      </c>
      <c r="E3" s="2" t="s">
        <v>32</v>
      </c>
      <c r="F3" s="2" t="s">
        <v>2</v>
      </c>
      <c r="G3" s="2" t="s">
        <v>3</v>
      </c>
      <c r="H3" s="2" t="s">
        <v>33</v>
      </c>
      <c r="I3" s="2" t="s">
        <v>4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8">
        <f>IF(DAY(MajSøn1)=1,MajSøn1-6,MajSøn1+1)</f>
        <v>42121</v>
      </c>
      <c r="D4" s="8">
        <f>IF(DAY(MajSøn1)=1,MajSøn1-5,MajSøn1+2)</f>
        <v>42122</v>
      </c>
      <c r="E4" s="8">
        <f>IF(DAY(MajSøn1)=1,MajSøn1-4,MajSøn1+3)</f>
        <v>42123</v>
      </c>
      <c r="F4" s="8">
        <f>IF(DAY(MajSøn1)=1,MajSøn1-3,MajSøn1+4)</f>
        <v>42124</v>
      </c>
      <c r="G4" s="8">
        <f>IF(DAY(MajSøn1)=1,MajSøn1-2,MajSøn1+5)</f>
        <v>42125</v>
      </c>
      <c r="H4" s="8">
        <f>IF(DAY(MajSøn1)=1,MajSøn1-1,MajSøn1+6)</f>
        <v>42126</v>
      </c>
      <c r="I4" s="8">
        <f>IF(DAY(MajSøn1)=1,MajSøn1,MajSøn1+7)</f>
        <v>42127</v>
      </c>
      <c r="J4" s="5"/>
      <c r="K4" s="46" t="s">
        <v>18</v>
      </c>
      <c r="L4" s="14"/>
      <c r="M4" s="47"/>
      <c r="N4" s="48"/>
    </row>
    <row r="5" spans="1:14" ht="18" customHeight="1" x14ac:dyDescent="0.2">
      <c r="A5" s="4"/>
      <c r="B5" s="26"/>
      <c r="C5" s="8">
        <f>IF(DAY(MajSøn1)=1,MajSøn1+1,MajSøn1+8)</f>
        <v>42128</v>
      </c>
      <c r="D5" s="8">
        <f>IF(DAY(MajSøn1)=1,MajSøn1+2,MajSøn1+9)</f>
        <v>42129</v>
      </c>
      <c r="E5" s="8">
        <f>IF(DAY(MajSøn1)=1,MajSøn1+3,MajSøn1+10)</f>
        <v>42130</v>
      </c>
      <c r="F5" s="8">
        <f>IF(DAY(MajSøn1)=1,MajSøn1+4,MajSøn1+11)</f>
        <v>42131</v>
      </c>
      <c r="G5" s="8">
        <f>IF(DAY(MajSøn1)=1,MajSøn1+5,MajSøn1+12)</f>
        <v>42132</v>
      </c>
      <c r="H5" s="8">
        <f>IF(DAY(MajSøn1)=1,MajSøn1+6,MajSøn1+13)</f>
        <v>42133</v>
      </c>
      <c r="I5" s="8">
        <f>IF(DAY(MajSøn1)=1,MajSøn1+7,MajSøn1+14)</f>
        <v>42134</v>
      </c>
      <c r="J5" s="5"/>
      <c r="K5" s="32"/>
      <c r="L5" s="15"/>
      <c r="M5" s="33"/>
      <c r="N5" s="34"/>
    </row>
    <row r="6" spans="1:14" ht="18" customHeight="1" x14ac:dyDescent="0.2">
      <c r="A6" s="4"/>
      <c r="B6" s="26"/>
      <c r="C6" s="8">
        <f>IF(DAY(MajSøn1)=1,MajSøn1+8,MajSøn1+15)</f>
        <v>42135</v>
      </c>
      <c r="D6" s="8">
        <f>IF(DAY(MajSøn1)=1,MajSøn1+9,MajSøn1+16)</f>
        <v>42136</v>
      </c>
      <c r="E6" s="8">
        <f>IF(DAY(MajSøn1)=1,MajSøn1+10,MajSøn1+17)</f>
        <v>42137</v>
      </c>
      <c r="F6" s="8">
        <f>IF(DAY(MajSøn1)=1,MajSøn1+11,MajSøn1+18)</f>
        <v>42138</v>
      </c>
      <c r="G6" s="8">
        <f>IF(DAY(MajSøn1)=1,MajSøn1+12,MajSøn1+19)</f>
        <v>42139</v>
      </c>
      <c r="H6" s="8">
        <f>IF(DAY(MajSøn1)=1,MajSøn1+13,MajSøn1+20)</f>
        <v>42140</v>
      </c>
      <c r="I6" s="8">
        <f>IF(DAY(MajSøn1)=1,MajSøn1+14,MajSøn1+21)</f>
        <v>42141</v>
      </c>
      <c r="J6" s="5"/>
      <c r="K6" s="32"/>
      <c r="L6" s="15"/>
      <c r="M6" s="33"/>
      <c r="N6" s="34"/>
    </row>
    <row r="7" spans="1:14" ht="18" customHeight="1" x14ac:dyDescent="0.2">
      <c r="A7" s="4"/>
      <c r="B7" s="26"/>
      <c r="C7" s="8">
        <f>IF(DAY(MajSøn1)=1,MajSøn1+15,MajSøn1+22)</f>
        <v>42142</v>
      </c>
      <c r="D7" s="8">
        <f>IF(DAY(MajSøn1)=1,MajSøn1+16,MajSøn1+23)</f>
        <v>42143</v>
      </c>
      <c r="E7" s="8">
        <f>IF(DAY(MajSøn1)=1,MajSøn1+17,MajSøn1+24)</f>
        <v>42144</v>
      </c>
      <c r="F7" s="8">
        <f>IF(DAY(MajSøn1)=1,MajSøn1+18,MajSøn1+25)</f>
        <v>42145</v>
      </c>
      <c r="G7" s="8">
        <f>IF(DAY(MajSøn1)=1,MajSøn1+19,MajSøn1+26)</f>
        <v>42146</v>
      </c>
      <c r="H7" s="8">
        <f>IF(DAY(MajSøn1)=1,MajSøn1+20,MajSøn1+27)</f>
        <v>42147</v>
      </c>
      <c r="I7" s="8">
        <f>IF(DAY(MajSøn1)=1,MajSøn1+21,MajSøn1+28)</f>
        <v>42148</v>
      </c>
      <c r="J7" s="5"/>
      <c r="K7" s="9"/>
      <c r="L7" s="15"/>
      <c r="M7" s="33"/>
      <c r="N7" s="34"/>
    </row>
    <row r="8" spans="1:14" ht="18.75" customHeight="1" x14ac:dyDescent="0.2">
      <c r="A8" s="4"/>
      <c r="B8" s="26"/>
      <c r="C8" s="8">
        <f>IF(DAY(MajSøn1)=1,MajSøn1+22,MajSøn1+29)</f>
        <v>42149</v>
      </c>
      <c r="D8" s="8">
        <f>IF(DAY(MajSøn1)=1,MajSøn1+23,MajSøn1+30)</f>
        <v>42150</v>
      </c>
      <c r="E8" s="8">
        <f>IF(DAY(MajSøn1)=1,MajSøn1+24,MajSøn1+31)</f>
        <v>42151</v>
      </c>
      <c r="F8" s="8">
        <f>IF(DAY(MajSøn1)=1,MajSøn1+25,MajSøn1+32)</f>
        <v>42152</v>
      </c>
      <c r="G8" s="8">
        <f>IF(DAY(MajSøn1)=1,MajSøn1+26,MajSøn1+33)</f>
        <v>42153</v>
      </c>
      <c r="H8" s="8">
        <f>IF(DAY(MajSøn1)=1,MajSøn1+27,MajSøn1+34)</f>
        <v>42154</v>
      </c>
      <c r="I8" s="8">
        <f>IF(DAY(MajSøn1)=1,MajSøn1+28,MajSøn1+35)</f>
        <v>42155</v>
      </c>
      <c r="J8" s="5"/>
      <c r="K8" s="9"/>
      <c r="L8" s="15"/>
      <c r="M8" s="33"/>
      <c r="N8" s="34"/>
    </row>
    <row r="9" spans="1:14" ht="18" customHeight="1" x14ac:dyDescent="0.2">
      <c r="A9" s="4"/>
      <c r="B9" s="26"/>
      <c r="C9" s="8">
        <f>IF(DAY(MajSøn1)=1,MajSøn1+29,MajSøn1+36)</f>
        <v>42156</v>
      </c>
      <c r="D9" s="8">
        <f>IF(DAY(MajSøn1)=1,MajSøn1+30,MajSøn1+37)</f>
        <v>42157</v>
      </c>
      <c r="E9" s="8">
        <f>IF(DAY(MajSøn1)=1,MajSøn1+31,MajSøn1+38)</f>
        <v>42158</v>
      </c>
      <c r="F9" s="8">
        <f>IF(DAY(MajSøn1)=1,MajSøn1+32,MajSøn1+39)</f>
        <v>42159</v>
      </c>
      <c r="G9" s="8">
        <f>IF(DAY(MajSøn1)=1,MajSøn1+33,MajSøn1+40)</f>
        <v>42160</v>
      </c>
      <c r="H9" s="8">
        <f>IF(DAY(MajSøn1)=1,MajSøn1+34,MajSøn1+41)</f>
        <v>42161</v>
      </c>
      <c r="I9" s="8">
        <f>IF(DAY(MajSøn1)=1,MajSøn1+35,MajSøn1+42)</f>
        <v>42162</v>
      </c>
      <c r="J9" s="5"/>
      <c r="K9" s="10"/>
      <c r="L9" s="16"/>
      <c r="M9" s="35"/>
      <c r="N9" s="36"/>
    </row>
    <row r="10" spans="1:14" ht="18" customHeight="1" x14ac:dyDescent="0.2">
      <c r="A10" s="4"/>
      <c r="B10" s="27"/>
      <c r="C10" s="21"/>
      <c r="D10" s="21"/>
      <c r="E10" s="21"/>
      <c r="F10" s="21"/>
      <c r="G10" s="21"/>
      <c r="H10" s="21"/>
      <c r="I10" s="21"/>
      <c r="J10" s="22"/>
      <c r="K10" s="31" t="s">
        <v>19</v>
      </c>
      <c r="L10" s="14"/>
      <c r="M10" s="37"/>
      <c r="N10" s="38"/>
    </row>
    <row r="11" spans="1:14" ht="18" customHeight="1" x14ac:dyDescent="0.2">
      <c r="A11" s="4"/>
      <c r="B11" s="70" t="s">
        <v>31</v>
      </c>
      <c r="C11" s="71"/>
      <c r="D11" s="71"/>
      <c r="E11" s="71"/>
      <c r="F11" s="71"/>
      <c r="G11" s="71"/>
      <c r="H11" s="71"/>
      <c r="I11" s="71"/>
      <c r="J11" s="72"/>
      <c r="K11" s="32"/>
      <c r="L11" s="15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5"/>
      <c r="M12" s="33"/>
      <c r="N12" s="34"/>
    </row>
    <row r="13" spans="1:14" ht="18" customHeight="1" x14ac:dyDescent="0.2">
      <c r="B13" s="3" t="s">
        <v>18</v>
      </c>
      <c r="C13" s="39" t="s">
        <v>19</v>
      </c>
      <c r="D13" s="41"/>
      <c r="E13" s="39" t="s">
        <v>20</v>
      </c>
      <c r="F13" s="41"/>
      <c r="G13" s="39" t="s">
        <v>21</v>
      </c>
      <c r="H13" s="41"/>
      <c r="I13" s="39" t="s">
        <v>22</v>
      </c>
      <c r="J13" s="40"/>
      <c r="K13" s="9"/>
      <c r="L13" s="15"/>
      <c r="M13" s="33"/>
      <c r="N13" s="34"/>
    </row>
    <row r="14" spans="1:14" ht="18" customHeight="1" x14ac:dyDescent="0.2">
      <c r="B14" s="29" t="s">
        <v>5</v>
      </c>
      <c r="C14" s="53"/>
      <c r="D14" s="54"/>
      <c r="E14" s="53" t="s">
        <v>5</v>
      </c>
      <c r="F14" s="54"/>
      <c r="G14" s="53"/>
      <c r="H14" s="54"/>
      <c r="I14" s="53" t="s">
        <v>5</v>
      </c>
      <c r="J14" s="62"/>
      <c r="K14" s="9"/>
      <c r="L14" s="15"/>
      <c r="M14" s="33"/>
      <c r="N14" s="34"/>
    </row>
    <row r="15" spans="1:14" ht="18" customHeight="1" x14ac:dyDescent="0.2">
      <c r="B15" s="6" t="s">
        <v>25</v>
      </c>
      <c r="C15" s="51"/>
      <c r="D15" s="52"/>
      <c r="E15" s="51" t="s">
        <v>25</v>
      </c>
      <c r="F15" s="52"/>
      <c r="G15" s="51"/>
      <c r="H15" s="52"/>
      <c r="I15" s="59" t="s">
        <v>25</v>
      </c>
      <c r="J15" s="60"/>
      <c r="K15" s="11"/>
      <c r="L15" s="17"/>
      <c r="M15" s="35"/>
      <c r="N15" s="36"/>
    </row>
    <row r="16" spans="1:14" ht="18" customHeight="1" x14ac:dyDescent="0.2">
      <c r="B16" s="29"/>
      <c r="C16" s="53" t="s">
        <v>6</v>
      </c>
      <c r="D16" s="54"/>
      <c r="E16" s="53"/>
      <c r="F16" s="54"/>
      <c r="G16" s="53" t="s">
        <v>6</v>
      </c>
      <c r="H16" s="54"/>
      <c r="I16" s="63"/>
      <c r="J16" s="64"/>
      <c r="K16" s="31" t="s">
        <v>20</v>
      </c>
      <c r="L16" s="14"/>
      <c r="M16" s="37"/>
      <c r="N16" s="38"/>
    </row>
    <row r="17" spans="2:14" ht="18" customHeight="1" x14ac:dyDescent="0.2">
      <c r="B17" s="6"/>
      <c r="C17" s="51" t="s">
        <v>26</v>
      </c>
      <c r="D17" s="52"/>
      <c r="E17" s="51"/>
      <c r="F17" s="52"/>
      <c r="G17" s="51" t="s">
        <v>26</v>
      </c>
      <c r="H17" s="52"/>
      <c r="I17" s="59"/>
      <c r="J17" s="60"/>
      <c r="K17" s="32"/>
      <c r="L17" s="15"/>
      <c r="M17" s="33"/>
      <c r="N17" s="34"/>
    </row>
    <row r="18" spans="2:14" ht="18" customHeight="1" x14ac:dyDescent="0.2">
      <c r="B18" s="30" t="s">
        <v>7</v>
      </c>
      <c r="C18" s="55"/>
      <c r="D18" s="56"/>
      <c r="E18" s="55" t="s">
        <v>7</v>
      </c>
      <c r="F18" s="56"/>
      <c r="G18" s="55"/>
      <c r="H18" s="56"/>
      <c r="I18" s="55" t="s">
        <v>7</v>
      </c>
      <c r="J18" s="61"/>
      <c r="K18" s="32"/>
      <c r="L18" s="15"/>
      <c r="M18" s="33"/>
      <c r="N18" s="34"/>
    </row>
    <row r="19" spans="2:14" ht="18" customHeight="1" x14ac:dyDescent="0.2">
      <c r="B19" s="6" t="s">
        <v>27</v>
      </c>
      <c r="C19" s="51"/>
      <c r="D19" s="52"/>
      <c r="E19" s="51" t="s">
        <v>27</v>
      </c>
      <c r="F19" s="52"/>
      <c r="G19" s="51"/>
      <c r="H19" s="52"/>
      <c r="I19" s="59" t="s">
        <v>27</v>
      </c>
      <c r="J19" s="60"/>
      <c r="K19" s="9"/>
      <c r="L19" s="15"/>
      <c r="M19" s="33"/>
      <c r="N19" s="34"/>
    </row>
    <row r="20" spans="2:14" ht="18" customHeight="1" x14ac:dyDescent="0.2">
      <c r="B20" s="29"/>
      <c r="C20" s="53"/>
      <c r="D20" s="54"/>
      <c r="E20" s="53"/>
      <c r="F20" s="54"/>
      <c r="G20" s="53"/>
      <c r="H20" s="54"/>
      <c r="I20" s="53"/>
      <c r="J20" s="62"/>
      <c r="K20" s="9"/>
      <c r="L20" s="15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1"/>
      <c r="L21" s="17"/>
      <c r="M21" s="35"/>
      <c r="N21" s="36"/>
    </row>
    <row r="22" spans="2:14" ht="18" customHeight="1" x14ac:dyDescent="0.2">
      <c r="B22" s="29"/>
      <c r="C22" s="53"/>
      <c r="D22" s="54"/>
      <c r="E22" s="53"/>
      <c r="F22" s="54"/>
      <c r="G22" s="53"/>
      <c r="H22" s="54"/>
      <c r="I22" s="53"/>
      <c r="J22" s="62"/>
      <c r="K22" s="31" t="s">
        <v>21</v>
      </c>
      <c r="L22" s="14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5"/>
      <c r="M23" s="33"/>
      <c r="N23" s="34"/>
    </row>
    <row r="24" spans="2:14" ht="18" customHeight="1" x14ac:dyDescent="0.2">
      <c r="B24" s="29"/>
      <c r="C24" s="53"/>
      <c r="D24" s="54"/>
      <c r="E24" s="53"/>
      <c r="F24" s="54"/>
      <c r="G24" s="53"/>
      <c r="H24" s="54"/>
      <c r="I24" s="53"/>
      <c r="J24" s="62"/>
      <c r="K24" s="32"/>
      <c r="L24" s="15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5"/>
      <c r="M25" s="33"/>
      <c r="N25" s="34"/>
    </row>
    <row r="26" spans="2:14" ht="18" customHeight="1" x14ac:dyDescent="0.2">
      <c r="B26" s="29">
        <v>0.58333333333333337</v>
      </c>
      <c r="C26" s="53"/>
      <c r="D26" s="54"/>
      <c r="E26" s="53">
        <v>0.58333333333333337</v>
      </c>
      <c r="F26" s="54"/>
      <c r="G26" s="53"/>
      <c r="H26" s="54"/>
      <c r="I26" s="53">
        <v>0.58333333333333337</v>
      </c>
      <c r="J26" s="62"/>
      <c r="K26" s="9"/>
      <c r="L26" s="15"/>
      <c r="M26" s="33"/>
      <c r="N26" s="34"/>
    </row>
    <row r="27" spans="2:14" ht="18" customHeight="1" x14ac:dyDescent="0.2">
      <c r="B27" s="6" t="s">
        <v>28</v>
      </c>
      <c r="C27" s="51"/>
      <c r="D27" s="52"/>
      <c r="E27" s="51" t="s">
        <v>28</v>
      </c>
      <c r="F27" s="52"/>
      <c r="G27" s="51"/>
      <c r="H27" s="52"/>
      <c r="I27" s="59" t="s">
        <v>28</v>
      </c>
      <c r="J27" s="60"/>
      <c r="K27" s="11"/>
      <c r="L27" s="17"/>
      <c r="M27" s="35"/>
      <c r="N27" s="36"/>
    </row>
    <row r="28" spans="2:14" ht="18" customHeight="1" x14ac:dyDescent="0.2">
      <c r="B28" s="29"/>
      <c r="C28" s="53"/>
      <c r="D28" s="54"/>
      <c r="E28" s="53"/>
      <c r="F28" s="54"/>
      <c r="G28" s="53"/>
      <c r="H28" s="54"/>
      <c r="I28" s="53"/>
      <c r="J28" s="62"/>
      <c r="K28" s="31" t="s">
        <v>22</v>
      </c>
      <c r="L28" s="14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5"/>
      <c r="M29" s="33"/>
      <c r="N29" s="34"/>
    </row>
    <row r="30" spans="2:14" ht="18" customHeight="1" x14ac:dyDescent="0.2">
      <c r="B30" s="29"/>
      <c r="C30" s="53">
        <v>0.66666666666666663</v>
      </c>
      <c r="D30" s="54"/>
      <c r="E30" s="53"/>
      <c r="F30" s="54"/>
      <c r="G30" s="53">
        <v>0.66666666666666663</v>
      </c>
      <c r="H30" s="54"/>
      <c r="I30" s="75"/>
      <c r="J30" s="76"/>
      <c r="K30" s="32"/>
      <c r="L30" s="15"/>
      <c r="M30" s="33"/>
      <c r="N30" s="34"/>
    </row>
    <row r="31" spans="2:14" ht="18" customHeight="1" x14ac:dyDescent="0.2">
      <c r="B31" s="6"/>
      <c r="C31" s="51" t="s">
        <v>29</v>
      </c>
      <c r="D31" s="52"/>
      <c r="E31" s="51"/>
      <c r="F31" s="52"/>
      <c r="G31" s="51" t="s">
        <v>29</v>
      </c>
      <c r="H31" s="52"/>
      <c r="I31" s="51"/>
      <c r="J31" s="67"/>
      <c r="K31" s="12"/>
      <c r="L31" s="15"/>
      <c r="M31" s="33"/>
      <c r="N31" s="34"/>
    </row>
    <row r="32" spans="2:14" ht="18" customHeight="1" x14ac:dyDescent="0.2">
      <c r="B32" s="29"/>
      <c r="C32" s="53"/>
      <c r="D32" s="54"/>
      <c r="E32" s="53"/>
      <c r="F32" s="54"/>
      <c r="G32" s="53"/>
      <c r="H32" s="54"/>
      <c r="I32" s="63"/>
      <c r="J32" s="64"/>
      <c r="K32" s="12"/>
      <c r="L32" s="15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3"/>
      <c r="L33" s="18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71" priority="9" stopIfTrue="1">
      <formula>DAY(C4)&gt;8</formula>
    </cfRule>
  </conditionalFormatting>
  <conditionalFormatting sqref="C8:I10">
    <cfRule type="expression" dxfId="70" priority="8" stopIfTrue="1">
      <formula>AND(DAY(C8)&gt;=1,DAY(C8)&lt;=15)</formula>
    </cfRule>
  </conditionalFormatting>
  <conditionalFormatting sqref="C4:I9">
    <cfRule type="expression" dxfId="69" priority="10">
      <formula>VLOOKUP(DAY(C4),OpgaveDage,1,FALSE)=DAY(C4)</formula>
    </cfRule>
  </conditionalFormatting>
  <conditionalFormatting sqref="B14:J14 B16:J16 B18:J18 B17 I17:J17 B20:J26 B28:J30 B32:J33">
    <cfRule type="expression" dxfId="68" priority="6">
      <formula>B14&lt;&gt;""</formula>
    </cfRule>
  </conditionalFormatting>
  <conditionalFormatting sqref="B15:J15">
    <cfRule type="expression" dxfId="67" priority="5">
      <formula>B15&lt;&gt;""</formula>
    </cfRule>
  </conditionalFormatting>
  <conditionalFormatting sqref="C17:H17">
    <cfRule type="expression" dxfId="66" priority="4">
      <formula>C17&lt;&gt;""</formula>
    </cfRule>
  </conditionalFormatting>
  <conditionalFormatting sqref="B19:J19">
    <cfRule type="expression" dxfId="65" priority="3">
      <formula>B19&lt;&gt;""</formula>
    </cfRule>
  </conditionalFormatting>
  <conditionalFormatting sqref="B27:J27">
    <cfRule type="expression" dxfId="64" priority="2">
      <formula>B27&lt;&gt;""</formula>
    </cfRule>
  </conditionalFormatting>
  <conditionalFormatting sqref="B31:J31">
    <cfRule type="expression" dxfId="63" priority="1">
      <formula>B31&lt;&gt;""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8"/>
      <c r="C2" s="19"/>
      <c r="D2" s="19"/>
      <c r="E2" s="19"/>
      <c r="F2" s="19"/>
      <c r="G2" s="19"/>
      <c r="H2" s="19"/>
      <c r="I2" s="19"/>
      <c r="J2" s="20"/>
      <c r="K2" s="42" t="s">
        <v>17</v>
      </c>
      <c r="L2" s="43">
        <v>2013</v>
      </c>
      <c r="M2" s="43"/>
      <c r="N2" s="79">
        <f>Kalenderår</f>
        <v>2015</v>
      </c>
    </row>
    <row r="3" spans="1:14" ht="21" customHeight="1" x14ac:dyDescent="0.2">
      <c r="A3" s="4"/>
      <c r="B3" s="68" t="s">
        <v>11</v>
      </c>
      <c r="C3" s="2" t="s">
        <v>1</v>
      </c>
      <c r="D3" s="2" t="s">
        <v>2</v>
      </c>
      <c r="E3" s="2" t="s">
        <v>32</v>
      </c>
      <c r="F3" s="2" t="s">
        <v>2</v>
      </c>
      <c r="G3" s="2" t="s">
        <v>3</v>
      </c>
      <c r="H3" s="2" t="s">
        <v>33</v>
      </c>
      <c r="I3" s="2" t="s">
        <v>4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8">
        <f>IF(DAY(JunSøn1)=1,JunSøn1-6,JunSøn1+1)</f>
        <v>42156</v>
      </c>
      <c r="D4" s="8">
        <f>IF(DAY(JunSøn1)=1,JunSøn1-5,JunSøn1+2)</f>
        <v>42157</v>
      </c>
      <c r="E4" s="8">
        <f>IF(DAY(JunSøn1)=1,JunSøn1-4,JunSøn1+3)</f>
        <v>42158</v>
      </c>
      <c r="F4" s="8">
        <f>IF(DAY(JunSøn1)=1,JunSøn1-3,JunSøn1+4)</f>
        <v>42159</v>
      </c>
      <c r="G4" s="8">
        <f>IF(DAY(JunSøn1)=1,JunSøn1-2,JunSøn1+5)</f>
        <v>42160</v>
      </c>
      <c r="H4" s="8">
        <f>IF(DAY(JunSøn1)=1,JunSøn1-1,JunSøn1+6)</f>
        <v>42161</v>
      </c>
      <c r="I4" s="8">
        <f>IF(DAY(JunSøn1)=1,JunSøn1,JunSøn1+7)</f>
        <v>42162</v>
      </c>
      <c r="J4" s="5"/>
      <c r="K4" s="46" t="s">
        <v>18</v>
      </c>
      <c r="L4" s="14"/>
      <c r="M4" s="47"/>
      <c r="N4" s="48"/>
    </row>
    <row r="5" spans="1:14" ht="18" customHeight="1" x14ac:dyDescent="0.2">
      <c r="A5" s="4"/>
      <c r="B5" s="26"/>
      <c r="C5" s="8">
        <f>IF(DAY(JunSøn1)=1,JunSøn1+1,JunSøn1+8)</f>
        <v>42163</v>
      </c>
      <c r="D5" s="8">
        <f>IF(DAY(JunSøn1)=1,JunSøn1+2,JunSøn1+9)</f>
        <v>42164</v>
      </c>
      <c r="E5" s="8">
        <f>IF(DAY(JunSøn1)=1,JunSøn1+3,JunSøn1+10)</f>
        <v>42165</v>
      </c>
      <c r="F5" s="8">
        <f>IF(DAY(JunSøn1)=1,JunSøn1+4,JunSøn1+11)</f>
        <v>42166</v>
      </c>
      <c r="G5" s="8">
        <f>IF(DAY(JunSøn1)=1,JunSøn1+5,JunSøn1+12)</f>
        <v>42167</v>
      </c>
      <c r="H5" s="8">
        <f>IF(DAY(JunSøn1)=1,JunSøn1+6,JunSøn1+13)</f>
        <v>42168</v>
      </c>
      <c r="I5" s="8">
        <f>IF(DAY(JunSøn1)=1,JunSøn1+7,JunSøn1+14)</f>
        <v>42169</v>
      </c>
      <c r="J5" s="5"/>
      <c r="K5" s="32"/>
      <c r="L5" s="15"/>
      <c r="M5" s="33"/>
      <c r="N5" s="34"/>
    </row>
    <row r="6" spans="1:14" ht="18" customHeight="1" x14ac:dyDescent="0.2">
      <c r="A6" s="4"/>
      <c r="B6" s="26"/>
      <c r="C6" s="8">
        <f>IF(DAY(JunSøn1)=1,JunSøn1+8,JunSøn1+15)</f>
        <v>42170</v>
      </c>
      <c r="D6" s="8">
        <f>IF(DAY(JunSøn1)=1,JunSøn1+9,JunSøn1+16)</f>
        <v>42171</v>
      </c>
      <c r="E6" s="8">
        <f>IF(DAY(JunSøn1)=1,JunSøn1+10,JunSøn1+17)</f>
        <v>42172</v>
      </c>
      <c r="F6" s="8">
        <f>IF(DAY(JunSøn1)=1,JunSøn1+11,JunSøn1+18)</f>
        <v>42173</v>
      </c>
      <c r="G6" s="8">
        <f>IF(DAY(JunSøn1)=1,JunSøn1+12,JunSøn1+19)</f>
        <v>42174</v>
      </c>
      <c r="H6" s="8">
        <f>IF(DAY(JunSøn1)=1,JunSøn1+13,JunSøn1+20)</f>
        <v>42175</v>
      </c>
      <c r="I6" s="8">
        <f>IF(DAY(JunSøn1)=1,JunSøn1+14,JunSøn1+21)</f>
        <v>42176</v>
      </c>
      <c r="J6" s="5"/>
      <c r="K6" s="32"/>
      <c r="L6" s="15"/>
      <c r="M6" s="33"/>
      <c r="N6" s="34"/>
    </row>
    <row r="7" spans="1:14" ht="18" customHeight="1" x14ac:dyDescent="0.2">
      <c r="A7" s="4"/>
      <c r="B7" s="26"/>
      <c r="C7" s="8">
        <f>IF(DAY(JunSøn1)=1,JunSøn1+15,JunSøn1+22)</f>
        <v>42177</v>
      </c>
      <c r="D7" s="8">
        <f>IF(DAY(JunSøn1)=1,JunSøn1+16,JunSøn1+23)</f>
        <v>42178</v>
      </c>
      <c r="E7" s="8">
        <f>IF(DAY(JunSøn1)=1,JunSøn1+17,JunSøn1+24)</f>
        <v>42179</v>
      </c>
      <c r="F7" s="8">
        <f>IF(DAY(JunSøn1)=1,JunSøn1+18,JunSøn1+25)</f>
        <v>42180</v>
      </c>
      <c r="G7" s="8">
        <f>IF(DAY(JunSøn1)=1,JunSøn1+19,JunSøn1+26)</f>
        <v>42181</v>
      </c>
      <c r="H7" s="8">
        <f>IF(DAY(JunSøn1)=1,JunSøn1+20,JunSøn1+27)</f>
        <v>42182</v>
      </c>
      <c r="I7" s="8">
        <f>IF(DAY(JunSøn1)=1,JunSøn1+21,JunSøn1+28)</f>
        <v>42183</v>
      </c>
      <c r="J7" s="5"/>
      <c r="K7" s="9"/>
      <c r="L7" s="15"/>
      <c r="M7" s="33"/>
      <c r="N7" s="34"/>
    </row>
    <row r="8" spans="1:14" ht="18.75" customHeight="1" x14ac:dyDescent="0.2">
      <c r="A8" s="4"/>
      <c r="B8" s="26"/>
      <c r="C8" s="8">
        <f>IF(DAY(JunSøn1)=1,JunSøn1+22,JunSøn1+29)</f>
        <v>42184</v>
      </c>
      <c r="D8" s="8">
        <f>IF(DAY(JunSøn1)=1,JunSøn1+23,JunSøn1+30)</f>
        <v>42185</v>
      </c>
      <c r="E8" s="8">
        <f>IF(DAY(JunSøn1)=1,JunSøn1+24,JunSøn1+31)</f>
        <v>42186</v>
      </c>
      <c r="F8" s="8">
        <f>IF(DAY(JunSøn1)=1,JunSøn1+25,JunSøn1+32)</f>
        <v>42187</v>
      </c>
      <c r="G8" s="8">
        <f>IF(DAY(JunSøn1)=1,JunSøn1+26,JunSøn1+33)</f>
        <v>42188</v>
      </c>
      <c r="H8" s="8">
        <f>IF(DAY(JunSøn1)=1,JunSøn1+27,JunSøn1+34)</f>
        <v>42189</v>
      </c>
      <c r="I8" s="8">
        <f>IF(DAY(JunSøn1)=1,JunSøn1+28,JunSøn1+35)</f>
        <v>42190</v>
      </c>
      <c r="J8" s="5"/>
      <c r="K8" s="9"/>
      <c r="L8" s="15"/>
      <c r="M8" s="33"/>
      <c r="N8" s="34"/>
    </row>
    <row r="9" spans="1:14" ht="18" customHeight="1" x14ac:dyDescent="0.2">
      <c r="A9" s="4"/>
      <c r="B9" s="26"/>
      <c r="C9" s="8">
        <f>IF(DAY(JunSøn1)=1,JunSøn1+29,JunSøn1+36)</f>
        <v>42191</v>
      </c>
      <c r="D9" s="8">
        <f>IF(DAY(JunSøn1)=1,JunSøn1+30,JunSøn1+37)</f>
        <v>42192</v>
      </c>
      <c r="E9" s="8">
        <f>IF(DAY(JunSøn1)=1,JunSøn1+31,JunSøn1+38)</f>
        <v>42193</v>
      </c>
      <c r="F9" s="8">
        <f>IF(DAY(JunSøn1)=1,JunSøn1+32,JunSøn1+39)</f>
        <v>42194</v>
      </c>
      <c r="G9" s="8">
        <f>IF(DAY(JunSøn1)=1,JunSøn1+33,JunSøn1+40)</f>
        <v>42195</v>
      </c>
      <c r="H9" s="8">
        <f>IF(DAY(JunSøn1)=1,JunSøn1+34,JunSøn1+41)</f>
        <v>42196</v>
      </c>
      <c r="I9" s="8">
        <f>IF(DAY(JunSøn1)=1,JunSøn1+35,JunSøn1+42)</f>
        <v>42197</v>
      </c>
      <c r="J9" s="5"/>
      <c r="K9" s="10"/>
      <c r="L9" s="16"/>
      <c r="M9" s="35"/>
      <c r="N9" s="36"/>
    </row>
    <row r="10" spans="1:14" ht="18" customHeight="1" x14ac:dyDescent="0.2">
      <c r="A10" s="4"/>
      <c r="B10" s="27"/>
      <c r="C10" s="21"/>
      <c r="D10" s="21"/>
      <c r="E10" s="21"/>
      <c r="F10" s="21"/>
      <c r="G10" s="21"/>
      <c r="H10" s="21"/>
      <c r="I10" s="21"/>
      <c r="J10" s="22"/>
      <c r="K10" s="31" t="s">
        <v>19</v>
      </c>
      <c r="L10" s="14"/>
      <c r="M10" s="37"/>
      <c r="N10" s="38"/>
    </row>
    <row r="11" spans="1:14" ht="18" customHeight="1" x14ac:dyDescent="0.2">
      <c r="A11" s="4"/>
      <c r="B11" s="70" t="s">
        <v>31</v>
      </c>
      <c r="C11" s="71"/>
      <c r="D11" s="71"/>
      <c r="E11" s="71"/>
      <c r="F11" s="71"/>
      <c r="G11" s="71"/>
      <c r="H11" s="71"/>
      <c r="I11" s="71"/>
      <c r="J11" s="72"/>
      <c r="K11" s="32"/>
      <c r="L11" s="15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5"/>
      <c r="M12" s="33"/>
      <c r="N12" s="34"/>
    </row>
    <row r="13" spans="1:14" ht="18" customHeight="1" x14ac:dyDescent="0.2">
      <c r="B13" s="3" t="s">
        <v>18</v>
      </c>
      <c r="C13" s="39" t="s">
        <v>19</v>
      </c>
      <c r="D13" s="41"/>
      <c r="E13" s="39" t="s">
        <v>20</v>
      </c>
      <c r="F13" s="41"/>
      <c r="G13" s="39" t="s">
        <v>21</v>
      </c>
      <c r="H13" s="41"/>
      <c r="I13" s="39" t="s">
        <v>22</v>
      </c>
      <c r="J13" s="40"/>
      <c r="K13" s="9"/>
      <c r="L13" s="15"/>
      <c r="M13" s="33"/>
      <c r="N13" s="34"/>
    </row>
    <row r="14" spans="1:14" ht="18" customHeight="1" x14ac:dyDescent="0.2">
      <c r="B14" s="29" t="s">
        <v>5</v>
      </c>
      <c r="C14" s="53"/>
      <c r="D14" s="54"/>
      <c r="E14" s="53" t="s">
        <v>5</v>
      </c>
      <c r="F14" s="54"/>
      <c r="G14" s="53"/>
      <c r="H14" s="54"/>
      <c r="I14" s="53" t="s">
        <v>5</v>
      </c>
      <c r="J14" s="62"/>
      <c r="K14" s="9"/>
      <c r="L14" s="15"/>
      <c r="M14" s="33"/>
      <c r="N14" s="34"/>
    </row>
    <row r="15" spans="1:14" ht="18" customHeight="1" x14ac:dyDescent="0.2">
      <c r="B15" s="6" t="s">
        <v>25</v>
      </c>
      <c r="C15" s="51"/>
      <c r="D15" s="52"/>
      <c r="E15" s="51" t="s">
        <v>25</v>
      </c>
      <c r="F15" s="52"/>
      <c r="G15" s="51"/>
      <c r="H15" s="52"/>
      <c r="I15" s="59" t="s">
        <v>25</v>
      </c>
      <c r="J15" s="60"/>
      <c r="K15" s="11"/>
      <c r="L15" s="17"/>
      <c r="M15" s="35"/>
      <c r="N15" s="36"/>
    </row>
    <row r="16" spans="1:14" ht="18" customHeight="1" x14ac:dyDescent="0.2">
      <c r="B16" s="29"/>
      <c r="C16" s="53" t="s">
        <v>6</v>
      </c>
      <c r="D16" s="54"/>
      <c r="E16" s="53"/>
      <c r="F16" s="54"/>
      <c r="G16" s="53" t="s">
        <v>6</v>
      </c>
      <c r="H16" s="54"/>
      <c r="I16" s="63"/>
      <c r="J16" s="64"/>
      <c r="K16" s="31" t="s">
        <v>20</v>
      </c>
      <c r="L16" s="14"/>
      <c r="M16" s="37"/>
      <c r="N16" s="38"/>
    </row>
    <row r="17" spans="2:14" ht="18" customHeight="1" x14ac:dyDescent="0.2">
      <c r="B17" s="6"/>
      <c r="C17" s="51" t="s">
        <v>26</v>
      </c>
      <c r="D17" s="52"/>
      <c r="E17" s="51"/>
      <c r="F17" s="52"/>
      <c r="G17" s="51" t="s">
        <v>26</v>
      </c>
      <c r="H17" s="52"/>
      <c r="I17" s="59"/>
      <c r="J17" s="60"/>
      <c r="K17" s="32"/>
      <c r="L17" s="15"/>
      <c r="M17" s="33"/>
      <c r="N17" s="34"/>
    </row>
    <row r="18" spans="2:14" ht="18" customHeight="1" x14ac:dyDescent="0.2">
      <c r="B18" s="30" t="s">
        <v>7</v>
      </c>
      <c r="C18" s="55"/>
      <c r="D18" s="56"/>
      <c r="E18" s="55" t="s">
        <v>7</v>
      </c>
      <c r="F18" s="56"/>
      <c r="G18" s="55"/>
      <c r="H18" s="56"/>
      <c r="I18" s="55" t="s">
        <v>7</v>
      </c>
      <c r="J18" s="61"/>
      <c r="K18" s="32"/>
      <c r="L18" s="15"/>
      <c r="M18" s="33"/>
      <c r="N18" s="34"/>
    </row>
    <row r="19" spans="2:14" ht="18" customHeight="1" x14ac:dyDescent="0.2">
      <c r="B19" s="6" t="s">
        <v>27</v>
      </c>
      <c r="C19" s="51"/>
      <c r="D19" s="52"/>
      <c r="E19" s="51" t="s">
        <v>27</v>
      </c>
      <c r="F19" s="52"/>
      <c r="G19" s="51"/>
      <c r="H19" s="52"/>
      <c r="I19" s="59" t="s">
        <v>27</v>
      </c>
      <c r="J19" s="60"/>
      <c r="K19" s="9"/>
      <c r="L19" s="15"/>
      <c r="M19" s="33"/>
      <c r="N19" s="34"/>
    </row>
    <row r="20" spans="2:14" ht="18" customHeight="1" x14ac:dyDescent="0.2">
      <c r="B20" s="29"/>
      <c r="C20" s="53"/>
      <c r="D20" s="54"/>
      <c r="E20" s="53"/>
      <c r="F20" s="54"/>
      <c r="G20" s="53"/>
      <c r="H20" s="54"/>
      <c r="I20" s="53"/>
      <c r="J20" s="62"/>
      <c r="K20" s="9"/>
      <c r="L20" s="15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1"/>
      <c r="L21" s="17"/>
      <c r="M21" s="35"/>
      <c r="N21" s="36"/>
    </row>
    <row r="22" spans="2:14" ht="18" customHeight="1" x14ac:dyDescent="0.2">
      <c r="B22" s="29"/>
      <c r="C22" s="53"/>
      <c r="D22" s="54"/>
      <c r="E22" s="53"/>
      <c r="F22" s="54"/>
      <c r="G22" s="53"/>
      <c r="H22" s="54"/>
      <c r="I22" s="53"/>
      <c r="J22" s="62"/>
      <c r="K22" s="31" t="s">
        <v>21</v>
      </c>
      <c r="L22" s="14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5"/>
      <c r="M23" s="33"/>
      <c r="N23" s="34"/>
    </row>
    <row r="24" spans="2:14" ht="18" customHeight="1" x14ac:dyDescent="0.2">
      <c r="B24" s="29"/>
      <c r="C24" s="53"/>
      <c r="D24" s="54"/>
      <c r="E24" s="53"/>
      <c r="F24" s="54"/>
      <c r="G24" s="53"/>
      <c r="H24" s="54"/>
      <c r="I24" s="53"/>
      <c r="J24" s="62"/>
      <c r="K24" s="32"/>
      <c r="L24" s="15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5"/>
      <c r="M25" s="33"/>
      <c r="N25" s="34"/>
    </row>
    <row r="26" spans="2:14" ht="18" customHeight="1" x14ac:dyDescent="0.2">
      <c r="B26" s="29">
        <v>0.58333333333333337</v>
      </c>
      <c r="C26" s="53"/>
      <c r="D26" s="54"/>
      <c r="E26" s="53">
        <v>0.58333333333333337</v>
      </c>
      <c r="F26" s="54"/>
      <c r="G26" s="53"/>
      <c r="H26" s="54"/>
      <c r="I26" s="53">
        <v>0.58333333333333337</v>
      </c>
      <c r="J26" s="62"/>
      <c r="K26" s="9"/>
      <c r="L26" s="15"/>
      <c r="M26" s="33"/>
      <c r="N26" s="34"/>
    </row>
    <row r="27" spans="2:14" ht="18" customHeight="1" x14ac:dyDescent="0.2">
      <c r="B27" s="6" t="s">
        <v>28</v>
      </c>
      <c r="C27" s="51"/>
      <c r="D27" s="52"/>
      <c r="E27" s="51" t="s">
        <v>28</v>
      </c>
      <c r="F27" s="52"/>
      <c r="G27" s="51"/>
      <c r="H27" s="52"/>
      <c r="I27" s="59" t="s">
        <v>28</v>
      </c>
      <c r="J27" s="60"/>
      <c r="K27" s="11"/>
      <c r="L27" s="17"/>
      <c r="M27" s="35"/>
      <c r="N27" s="36"/>
    </row>
    <row r="28" spans="2:14" ht="18" customHeight="1" x14ac:dyDescent="0.2">
      <c r="B28" s="29"/>
      <c r="C28" s="53"/>
      <c r="D28" s="54"/>
      <c r="E28" s="53"/>
      <c r="F28" s="54"/>
      <c r="G28" s="53"/>
      <c r="H28" s="54"/>
      <c r="I28" s="53"/>
      <c r="J28" s="62"/>
      <c r="K28" s="31" t="s">
        <v>22</v>
      </c>
      <c r="L28" s="14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5"/>
      <c r="M29" s="33"/>
      <c r="N29" s="34"/>
    </row>
    <row r="30" spans="2:14" ht="18" customHeight="1" x14ac:dyDescent="0.2">
      <c r="B30" s="29"/>
      <c r="C30" s="53">
        <v>0.66666666666666663</v>
      </c>
      <c r="D30" s="54"/>
      <c r="E30" s="53"/>
      <c r="F30" s="54"/>
      <c r="G30" s="53">
        <v>0.66666666666666663</v>
      </c>
      <c r="H30" s="54"/>
      <c r="I30" s="75"/>
      <c r="J30" s="76"/>
      <c r="K30" s="32"/>
      <c r="L30" s="15"/>
      <c r="M30" s="33"/>
      <c r="N30" s="34"/>
    </row>
    <row r="31" spans="2:14" ht="18" customHeight="1" x14ac:dyDescent="0.2">
      <c r="B31" s="6"/>
      <c r="C31" s="51" t="s">
        <v>29</v>
      </c>
      <c r="D31" s="52"/>
      <c r="E31" s="51"/>
      <c r="F31" s="52"/>
      <c r="G31" s="51" t="s">
        <v>29</v>
      </c>
      <c r="H31" s="52"/>
      <c r="I31" s="51"/>
      <c r="J31" s="67"/>
      <c r="K31" s="12"/>
      <c r="L31" s="15"/>
      <c r="M31" s="33"/>
      <c r="N31" s="34"/>
    </row>
    <row r="32" spans="2:14" ht="18" customHeight="1" x14ac:dyDescent="0.2">
      <c r="B32" s="29"/>
      <c r="C32" s="53"/>
      <c r="D32" s="54"/>
      <c r="E32" s="53"/>
      <c r="F32" s="54"/>
      <c r="G32" s="53"/>
      <c r="H32" s="54"/>
      <c r="I32" s="63"/>
      <c r="J32" s="64"/>
      <c r="K32" s="12"/>
      <c r="L32" s="15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3"/>
      <c r="L33" s="18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62" priority="9" stopIfTrue="1">
      <formula>DAY(C4)&gt;8</formula>
    </cfRule>
  </conditionalFormatting>
  <conditionalFormatting sqref="C8:I10">
    <cfRule type="expression" dxfId="61" priority="8" stopIfTrue="1">
      <formula>AND(DAY(C8)&gt;=1,DAY(C8)&lt;=15)</formula>
    </cfRule>
  </conditionalFormatting>
  <conditionalFormatting sqref="C4:I9">
    <cfRule type="expression" dxfId="60" priority="10">
      <formula>VLOOKUP(DAY(C4),OpgaveDage,1,FALSE)=DAY(C4)</formula>
    </cfRule>
  </conditionalFormatting>
  <conditionalFormatting sqref="B14:J14 B16:J16 B18:J18 B17 I17:J17 B20:J26 B28:J30 B32:J33">
    <cfRule type="expression" dxfId="59" priority="6">
      <formula>B14&lt;&gt;""</formula>
    </cfRule>
  </conditionalFormatting>
  <conditionalFormatting sqref="B15:J15">
    <cfRule type="expression" dxfId="58" priority="5">
      <formula>B15&lt;&gt;""</formula>
    </cfRule>
  </conditionalFormatting>
  <conditionalFormatting sqref="C17:H17">
    <cfRule type="expression" dxfId="57" priority="4">
      <formula>C17&lt;&gt;""</formula>
    </cfRule>
  </conditionalFormatting>
  <conditionalFormatting sqref="B19:J19">
    <cfRule type="expression" dxfId="56" priority="3">
      <formula>B19&lt;&gt;""</formula>
    </cfRule>
  </conditionalFormatting>
  <conditionalFormatting sqref="B27:J27">
    <cfRule type="expression" dxfId="55" priority="2">
      <formula>B27&lt;&gt;""</formula>
    </cfRule>
  </conditionalFormatting>
  <conditionalFormatting sqref="B31:J31">
    <cfRule type="expression" dxfId="54" priority="1">
      <formula>B31&lt;&gt;""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8"/>
      <c r="C2" s="19"/>
      <c r="D2" s="19"/>
      <c r="E2" s="19"/>
      <c r="F2" s="19"/>
      <c r="G2" s="19"/>
      <c r="H2" s="19"/>
      <c r="I2" s="19"/>
      <c r="J2" s="20"/>
      <c r="K2" s="42" t="s">
        <v>17</v>
      </c>
      <c r="L2" s="43">
        <v>2013</v>
      </c>
      <c r="M2" s="43"/>
      <c r="N2" s="79">
        <f>Kalenderår</f>
        <v>2015</v>
      </c>
    </row>
    <row r="3" spans="1:14" ht="21" customHeight="1" x14ac:dyDescent="0.2">
      <c r="A3" s="4"/>
      <c r="B3" s="68" t="s">
        <v>12</v>
      </c>
      <c r="C3" s="2" t="s">
        <v>1</v>
      </c>
      <c r="D3" s="2" t="s">
        <v>2</v>
      </c>
      <c r="E3" s="2" t="s">
        <v>32</v>
      </c>
      <c r="F3" s="2" t="s">
        <v>2</v>
      </c>
      <c r="G3" s="2" t="s">
        <v>3</v>
      </c>
      <c r="H3" s="2" t="s">
        <v>33</v>
      </c>
      <c r="I3" s="2" t="s">
        <v>4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8">
        <f>IF(DAY(JulSøn1)=1,JulSøn1-6,JulSøn1+1)</f>
        <v>42184</v>
      </c>
      <c r="D4" s="8">
        <f>IF(DAY(JulSøn1)=1,JulSøn1-5,JulSøn1+2)</f>
        <v>42185</v>
      </c>
      <c r="E4" s="8">
        <f>IF(DAY(JulSøn1)=1,JulSøn1-4,JulSøn1+3)</f>
        <v>42186</v>
      </c>
      <c r="F4" s="8">
        <f>IF(DAY(JulSøn1)=1,JulSøn1-3,JulSøn1+4)</f>
        <v>42187</v>
      </c>
      <c r="G4" s="8">
        <f>IF(DAY(JulSøn1)=1,JulSøn1-2,JulSøn1+5)</f>
        <v>42188</v>
      </c>
      <c r="H4" s="8">
        <f>IF(DAY(JulSøn1)=1,JulSøn1-1,JulSøn1+6)</f>
        <v>42189</v>
      </c>
      <c r="I4" s="8">
        <f>IF(DAY(JulSøn1)=1,JulSøn1,JulSøn1+7)</f>
        <v>42190</v>
      </c>
      <c r="J4" s="5"/>
      <c r="K4" s="46" t="s">
        <v>18</v>
      </c>
      <c r="L4" s="14"/>
      <c r="M4" s="47"/>
      <c r="N4" s="48"/>
    </row>
    <row r="5" spans="1:14" ht="18" customHeight="1" x14ac:dyDescent="0.2">
      <c r="A5" s="4"/>
      <c r="B5" s="26"/>
      <c r="C5" s="8">
        <f>IF(DAY(JulSøn1)=1,JulSøn1+1,JulSøn1+8)</f>
        <v>42191</v>
      </c>
      <c r="D5" s="8">
        <f>IF(DAY(JulSøn1)=1,JulSøn1+2,JulSøn1+9)</f>
        <v>42192</v>
      </c>
      <c r="E5" s="8">
        <f>IF(DAY(JulSøn1)=1,JulSøn1+3,JulSøn1+10)</f>
        <v>42193</v>
      </c>
      <c r="F5" s="8">
        <f>IF(DAY(JulSøn1)=1,JulSøn1+4,JulSøn1+11)</f>
        <v>42194</v>
      </c>
      <c r="G5" s="8">
        <f>IF(DAY(JulSøn1)=1,JulSøn1+5,JulSøn1+12)</f>
        <v>42195</v>
      </c>
      <c r="H5" s="8">
        <f>IF(DAY(JulSøn1)=1,JulSøn1+6,JulSøn1+13)</f>
        <v>42196</v>
      </c>
      <c r="I5" s="8">
        <f>IF(DAY(JulSøn1)=1,JulSøn1+7,JulSøn1+14)</f>
        <v>42197</v>
      </c>
      <c r="J5" s="5"/>
      <c r="K5" s="32"/>
      <c r="L5" s="15"/>
      <c r="M5" s="33"/>
      <c r="N5" s="34"/>
    </row>
    <row r="6" spans="1:14" ht="18" customHeight="1" x14ac:dyDescent="0.2">
      <c r="A6" s="4"/>
      <c r="B6" s="26"/>
      <c r="C6" s="8">
        <f>IF(DAY(JulSøn1)=1,JulSøn1+8,JulSøn1+15)</f>
        <v>42198</v>
      </c>
      <c r="D6" s="8">
        <f>IF(DAY(JulSøn1)=1,JulSøn1+9,JulSøn1+16)</f>
        <v>42199</v>
      </c>
      <c r="E6" s="8">
        <f>IF(DAY(JulSøn1)=1,JulSøn1+10,JulSøn1+17)</f>
        <v>42200</v>
      </c>
      <c r="F6" s="8">
        <f>IF(DAY(JulSøn1)=1,JulSøn1+11,JulSøn1+18)</f>
        <v>42201</v>
      </c>
      <c r="G6" s="8">
        <f>IF(DAY(JulSøn1)=1,JulSøn1+12,JulSøn1+19)</f>
        <v>42202</v>
      </c>
      <c r="H6" s="8">
        <f>IF(DAY(JulSøn1)=1,JulSøn1+13,JulSøn1+20)</f>
        <v>42203</v>
      </c>
      <c r="I6" s="8">
        <f>IF(DAY(JulSøn1)=1,JulSøn1+14,JulSøn1+21)</f>
        <v>42204</v>
      </c>
      <c r="J6" s="5"/>
      <c r="K6" s="32"/>
      <c r="L6" s="15"/>
      <c r="M6" s="33"/>
      <c r="N6" s="34"/>
    </row>
    <row r="7" spans="1:14" ht="18" customHeight="1" x14ac:dyDescent="0.2">
      <c r="A7" s="4"/>
      <c r="B7" s="26"/>
      <c r="C7" s="8">
        <f>IF(DAY(JulSøn1)=1,JulSøn1+15,JulSøn1+22)</f>
        <v>42205</v>
      </c>
      <c r="D7" s="8">
        <f>IF(DAY(JulSøn1)=1,JulSøn1+16,JulSøn1+23)</f>
        <v>42206</v>
      </c>
      <c r="E7" s="8">
        <f>IF(DAY(JulSøn1)=1,JulSøn1+17,JulSøn1+24)</f>
        <v>42207</v>
      </c>
      <c r="F7" s="8">
        <f>IF(DAY(JulSøn1)=1,JulSøn1+18,JulSøn1+25)</f>
        <v>42208</v>
      </c>
      <c r="G7" s="8">
        <f>IF(DAY(JulSøn1)=1,JulSøn1+19,JulSøn1+26)</f>
        <v>42209</v>
      </c>
      <c r="H7" s="8">
        <f>IF(DAY(JulSøn1)=1,JulSøn1+20,JulSøn1+27)</f>
        <v>42210</v>
      </c>
      <c r="I7" s="8">
        <f>IF(DAY(JulSøn1)=1,JulSøn1+21,JulSøn1+28)</f>
        <v>42211</v>
      </c>
      <c r="J7" s="5"/>
      <c r="K7" s="9"/>
      <c r="L7" s="15"/>
      <c r="M7" s="33"/>
      <c r="N7" s="34"/>
    </row>
    <row r="8" spans="1:14" ht="18.75" customHeight="1" x14ac:dyDescent="0.2">
      <c r="A8" s="4"/>
      <c r="B8" s="26"/>
      <c r="C8" s="8">
        <f>IF(DAY(JulSøn1)=1,JulSøn1+22,JulSøn1+29)</f>
        <v>42212</v>
      </c>
      <c r="D8" s="8">
        <f>IF(DAY(JulSøn1)=1,JulSøn1+23,JulSøn1+30)</f>
        <v>42213</v>
      </c>
      <c r="E8" s="8">
        <f>IF(DAY(JulSøn1)=1,JulSøn1+24,JulSøn1+31)</f>
        <v>42214</v>
      </c>
      <c r="F8" s="8">
        <f>IF(DAY(JulSøn1)=1,JulSøn1+25,JulSøn1+32)</f>
        <v>42215</v>
      </c>
      <c r="G8" s="8">
        <f>IF(DAY(JulSøn1)=1,JulSøn1+26,JulSøn1+33)</f>
        <v>42216</v>
      </c>
      <c r="H8" s="8">
        <f>IF(DAY(JulSøn1)=1,JulSøn1+27,JulSøn1+34)</f>
        <v>42217</v>
      </c>
      <c r="I8" s="8">
        <f>IF(DAY(JulSøn1)=1,JulSøn1+28,JulSøn1+35)</f>
        <v>42218</v>
      </c>
      <c r="J8" s="5"/>
      <c r="K8" s="9"/>
      <c r="L8" s="15"/>
      <c r="M8" s="33"/>
      <c r="N8" s="34"/>
    </row>
    <row r="9" spans="1:14" ht="18" customHeight="1" x14ac:dyDescent="0.2">
      <c r="A9" s="4"/>
      <c r="B9" s="26"/>
      <c r="C9" s="8">
        <f>IF(DAY(JulSøn1)=1,JulSøn1+29,JulSøn1+36)</f>
        <v>42219</v>
      </c>
      <c r="D9" s="8">
        <f>IF(DAY(JulSøn1)=1,JulSøn1+30,JulSøn1+37)</f>
        <v>42220</v>
      </c>
      <c r="E9" s="8">
        <f>IF(DAY(JulSøn1)=1,JulSøn1+31,JulSøn1+38)</f>
        <v>42221</v>
      </c>
      <c r="F9" s="8">
        <f>IF(DAY(JulSøn1)=1,JulSøn1+32,JulSøn1+39)</f>
        <v>42222</v>
      </c>
      <c r="G9" s="8">
        <f>IF(DAY(JulSøn1)=1,JulSøn1+33,JulSøn1+40)</f>
        <v>42223</v>
      </c>
      <c r="H9" s="8">
        <f>IF(DAY(JulSøn1)=1,JulSøn1+34,JulSøn1+41)</f>
        <v>42224</v>
      </c>
      <c r="I9" s="8">
        <f>IF(DAY(JulSøn1)=1,JulSøn1+35,JulSøn1+42)</f>
        <v>42225</v>
      </c>
      <c r="J9" s="5"/>
      <c r="K9" s="10"/>
      <c r="L9" s="16"/>
      <c r="M9" s="35"/>
      <c r="N9" s="36"/>
    </row>
    <row r="10" spans="1:14" ht="18" customHeight="1" x14ac:dyDescent="0.2">
      <c r="A10" s="4"/>
      <c r="B10" s="27"/>
      <c r="C10" s="21"/>
      <c r="D10" s="21"/>
      <c r="E10" s="21"/>
      <c r="F10" s="21"/>
      <c r="G10" s="21"/>
      <c r="H10" s="21"/>
      <c r="I10" s="21"/>
      <c r="J10" s="22"/>
      <c r="K10" s="31" t="s">
        <v>19</v>
      </c>
      <c r="L10" s="14"/>
      <c r="M10" s="37"/>
      <c r="N10" s="38"/>
    </row>
    <row r="11" spans="1:14" ht="18" customHeight="1" x14ac:dyDescent="0.2">
      <c r="A11" s="4"/>
      <c r="B11" s="70" t="s">
        <v>31</v>
      </c>
      <c r="C11" s="71"/>
      <c r="D11" s="71"/>
      <c r="E11" s="71"/>
      <c r="F11" s="71"/>
      <c r="G11" s="71"/>
      <c r="H11" s="71"/>
      <c r="I11" s="71"/>
      <c r="J11" s="72"/>
      <c r="K11" s="32"/>
      <c r="L11" s="15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5"/>
      <c r="M12" s="33"/>
      <c r="N12" s="34"/>
    </row>
    <row r="13" spans="1:14" ht="18" customHeight="1" x14ac:dyDescent="0.2">
      <c r="B13" s="3" t="s">
        <v>18</v>
      </c>
      <c r="C13" s="39" t="s">
        <v>19</v>
      </c>
      <c r="D13" s="41"/>
      <c r="E13" s="39" t="s">
        <v>20</v>
      </c>
      <c r="F13" s="41"/>
      <c r="G13" s="39" t="s">
        <v>21</v>
      </c>
      <c r="H13" s="41"/>
      <c r="I13" s="39" t="s">
        <v>22</v>
      </c>
      <c r="J13" s="40"/>
      <c r="K13" s="9"/>
      <c r="L13" s="15"/>
      <c r="M13" s="33"/>
      <c r="N13" s="34"/>
    </row>
    <row r="14" spans="1:14" ht="18" customHeight="1" x14ac:dyDescent="0.2">
      <c r="B14" s="29" t="s">
        <v>5</v>
      </c>
      <c r="C14" s="53"/>
      <c r="D14" s="54"/>
      <c r="E14" s="53" t="s">
        <v>5</v>
      </c>
      <c r="F14" s="54"/>
      <c r="G14" s="53"/>
      <c r="H14" s="54"/>
      <c r="I14" s="53" t="s">
        <v>5</v>
      </c>
      <c r="J14" s="62"/>
      <c r="K14" s="9"/>
      <c r="L14" s="15"/>
      <c r="M14" s="33"/>
      <c r="N14" s="34"/>
    </row>
    <row r="15" spans="1:14" ht="18" customHeight="1" x14ac:dyDescent="0.2">
      <c r="B15" s="6" t="s">
        <v>25</v>
      </c>
      <c r="C15" s="51"/>
      <c r="D15" s="52"/>
      <c r="E15" s="51" t="s">
        <v>25</v>
      </c>
      <c r="F15" s="52"/>
      <c r="G15" s="51"/>
      <c r="H15" s="52"/>
      <c r="I15" s="59" t="s">
        <v>25</v>
      </c>
      <c r="J15" s="60"/>
      <c r="K15" s="11"/>
      <c r="L15" s="17"/>
      <c r="M15" s="35"/>
      <c r="N15" s="36"/>
    </row>
    <row r="16" spans="1:14" ht="18" customHeight="1" x14ac:dyDescent="0.2">
      <c r="B16" s="29"/>
      <c r="C16" s="53" t="s">
        <v>6</v>
      </c>
      <c r="D16" s="54"/>
      <c r="E16" s="53"/>
      <c r="F16" s="54"/>
      <c r="G16" s="53" t="s">
        <v>6</v>
      </c>
      <c r="H16" s="54"/>
      <c r="I16" s="63"/>
      <c r="J16" s="64"/>
      <c r="K16" s="31" t="s">
        <v>20</v>
      </c>
      <c r="L16" s="14"/>
      <c r="M16" s="37"/>
      <c r="N16" s="38"/>
    </row>
    <row r="17" spans="2:14" ht="18" customHeight="1" x14ac:dyDescent="0.2">
      <c r="B17" s="6"/>
      <c r="C17" s="51" t="s">
        <v>26</v>
      </c>
      <c r="D17" s="52"/>
      <c r="E17" s="51"/>
      <c r="F17" s="52"/>
      <c r="G17" s="51" t="s">
        <v>26</v>
      </c>
      <c r="H17" s="52"/>
      <c r="I17" s="59"/>
      <c r="J17" s="60"/>
      <c r="K17" s="32"/>
      <c r="L17" s="15"/>
      <c r="M17" s="33"/>
      <c r="N17" s="34"/>
    </row>
    <row r="18" spans="2:14" ht="18" customHeight="1" x14ac:dyDescent="0.2">
      <c r="B18" s="30" t="s">
        <v>7</v>
      </c>
      <c r="C18" s="55"/>
      <c r="D18" s="56"/>
      <c r="E18" s="55" t="s">
        <v>7</v>
      </c>
      <c r="F18" s="56"/>
      <c r="G18" s="55"/>
      <c r="H18" s="56"/>
      <c r="I18" s="55" t="s">
        <v>7</v>
      </c>
      <c r="J18" s="61"/>
      <c r="K18" s="32"/>
      <c r="L18" s="15"/>
      <c r="M18" s="33"/>
      <c r="N18" s="34"/>
    </row>
    <row r="19" spans="2:14" ht="18" customHeight="1" x14ac:dyDescent="0.2">
      <c r="B19" s="6" t="s">
        <v>27</v>
      </c>
      <c r="C19" s="51"/>
      <c r="D19" s="52"/>
      <c r="E19" s="51" t="s">
        <v>27</v>
      </c>
      <c r="F19" s="52"/>
      <c r="G19" s="51"/>
      <c r="H19" s="52"/>
      <c r="I19" s="59" t="s">
        <v>27</v>
      </c>
      <c r="J19" s="60"/>
      <c r="K19" s="9"/>
      <c r="L19" s="15"/>
      <c r="M19" s="33"/>
      <c r="N19" s="34"/>
    </row>
    <row r="20" spans="2:14" ht="18" customHeight="1" x14ac:dyDescent="0.2">
      <c r="B20" s="29"/>
      <c r="C20" s="53"/>
      <c r="D20" s="54"/>
      <c r="E20" s="53"/>
      <c r="F20" s="54"/>
      <c r="G20" s="53"/>
      <c r="H20" s="54"/>
      <c r="I20" s="53"/>
      <c r="J20" s="62"/>
      <c r="K20" s="9"/>
      <c r="L20" s="15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1"/>
      <c r="L21" s="17"/>
      <c r="M21" s="35"/>
      <c r="N21" s="36"/>
    </row>
    <row r="22" spans="2:14" ht="18" customHeight="1" x14ac:dyDescent="0.2">
      <c r="B22" s="29"/>
      <c r="C22" s="53"/>
      <c r="D22" s="54"/>
      <c r="E22" s="53"/>
      <c r="F22" s="54"/>
      <c r="G22" s="53"/>
      <c r="H22" s="54"/>
      <c r="I22" s="53"/>
      <c r="J22" s="62"/>
      <c r="K22" s="31" t="s">
        <v>21</v>
      </c>
      <c r="L22" s="14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5"/>
      <c r="M23" s="33"/>
      <c r="N23" s="34"/>
    </row>
    <row r="24" spans="2:14" ht="18" customHeight="1" x14ac:dyDescent="0.2">
      <c r="B24" s="29"/>
      <c r="C24" s="53"/>
      <c r="D24" s="54"/>
      <c r="E24" s="53"/>
      <c r="F24" s="54"/>
      <c r="G24" s="53"/>
      <c r="H24" s="54"/>
      <c r="I24" s="53"/>
      <c r="J24" s="62"/>
      <c r="K24" s="32"/>
      <c r="L24" s="15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5"/>
      <c r="M25" s="33"/>
      <c r="N25" s="34"/>
    </row>
    <row r="26" spans="2:14" ht="18" customHeight="1" x14ac:dyDescent="0.2">
      <c r="B26" s="29">
        <v>0.58333333333333337</v>
      </c>
      <c r="C26" s="53"/>
      <c r="D26" s="54"/>
      <c r="E26" s="53">
        <v>0.58333333333333337</v>
      </c>
      <c r="F26" s="54"/>
      <c r="G26" s="53"/>
      <c r="H26" s="54"/>
      <c r="I26" s="53">
        <v>0.58333333333333337</v>
      </c>
      <c r="J26" s="62"/>
      <c r="K26" s="9"/>
      <c r="L26" s="15"/>
      <c r="M26" s="33"/>
      <c r="N26" s="34"/>
    </row>
    <row r="27" spans="2:14" ht="18" customHeight="1" x14ac:dyDescent="0.2">
      <c r="B27" s="6" t="s">
        <v>28</v>
      </c>
      <c r="C27" s="51"/>
      <c r="D27" s="52"/>
      <c r="E27" s="51" t="s">
        <v>28</v>
      </c>
      <c r="F27" s="52"/>
      <c r="G27" s="51"/>
      <c r="H27" s="52"/>
      <c r="I27" s="59" t="s">
        <v>28</v>
      </c>
      <c r="J27" s="60"/>
      <c r="K27" s="11"/>
      <c r="L27" s="17"/>
      <c r="M27" s="35"/>
      <c r="N27" s="36"/>
    </row>
    <row r="28" spans="2:14" ht="18" customHeight="1" x14ac:dyDescent="0.2">
      <c r="B28" s="29"/>
      <c r="C28" s="53"/>
      <c r="D28" s="54"/>
      <c r="E28" s="53"/>
      <c r="F28" s="54"/>
      <c r="G28" s="53"/>
      <c r="H28" s="54"/>
      <c r="I28" s="53"/>
      <c r="J28" s="62"/>
      <c r="K28" s="31" t="s">
        <v>22</v>
      </c>
      <c r="L28" s="14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5"/>
      <c r="M29" s="33"/>
      <c r="N29" s="34"/>
    </row>
    <row r="30" spans="2:14" ht="18" customHeight="1" x14ac:dyDescent="0.2">
      <c r="B30" s="29"/>
      <c r="C30" s="53">
        <v>0.66666666666666663</v>
      </c>
      <c r="D30" s="54"/>
      <c r="E30" s="53"/>
      <c r="F30" s="54"/>
      <c r="G30" s="53">
        <v>0.66666666666666663</v>
      </c>
      <c r="H30" s="54"/>
      <c r="I30" s="75"/>
      <c r="J30" s="76"/>
      <c r="K30" s="32"/>
      <c r="L30" s="15"/>
      <c r="M30" s="33"/>
      <c r="N30" s="34"/>
    </row>
    <row r="31" spans="2:14" ht="18" customHeight="1" x14ac:dyDescent="0.2">
      <c r="B31" s="6"/>
      <c r="C31" s="51" t="s">
        <v>29</v>
      </c>
      <c r="D31" s="52"/>
      <c r="E31" s="51"/>
      <c r="F31" s="52"/>
      <c r="G31" s="51" t="s">
        <v>29</v>
      </c>
      <c r="H31" s="52"/>
      <c r="I31" s="51"/>
      <c r="J31" s="67"/>
      <c r="K31" s="12"/>
      <c r="L31" s="15"/>
      <c r="M31" s="33"/>
      <c r="N31" s="34"/>
    </row>
    <row r="32" spans="2:14" ht="18" customHeight="1" x14ac:dyDescent="0.2">
      <c r="B32" s="29"/>
      <c r="C32" s="53"/>
      <c r="D32" s="54"/>
      <c r="E32" s="53"/>
      <c r="F32" s="54"/>
      <c r="G32" s="53"/>
      <c r="H32" s="54"/>
      <c r="I32" s="63"/>
      <c r="J32" s="64"/>
      <c r="K32" s="12"/>
      <c r="L32" s="15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3"/>
      <c r="L33" s="18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53" priority="9" stopIfTrue="1">
      <formula>DAY(C4)&gt;8</formula>
    </cfRule>
  </conditionalFormatting>
  <conditionalFormatting sqref="C8:I10">
    <cfRule type="expression" dxfId="52" priority="8" stopIfTrue="1">
      <formula>AND(DAY(C8)&gt;=1,DAY(C8)&lt;=15)</formula>
    </cfRule>
  </conditionalFormatting>
  <conditionalFormatting sqref="C4:I9">
    <cfRule type="expression" dxfId="51" priority="10">
      <formula>VLOOKUP(DAY(C4),OpgaveDage,1,FALSE)=DAY(C4)</formula>
    </cfRule>
  </conditionalFormatting>
  <conditionalFormatting sqref="B14:J14 B16:J16 B18:J18 B17 I17:J17 B20:J26 B28:J30 B32:J33">
    <cfRule type="expression" dxfId="50" priority="6">
      <formula>B14&lt;&gt;""</formula>
    </cfRule>
  </conditionalFormatting>
  <conditionalFormatting sqref="B15:J15">
    <cfRule type="expression" dxfId="49" priority="5">
      <formula>B15&lt;&gt;""</formula>
    </cfRule>
  </conditionalFormatting>
  <conditionalFormatting sqref="C17:H17">
    <cfRule type="expression" dxfId="48" priority="4">
      <formula>C17&lt;&gt;""</formula>
    </cfRule>
  </conditionalFormatting>
  <conditionalFormatting sqref="B19:J19">
    <cfRule type="expression" dxfId="47" priority="3">
      <formula>B19&lt;&gt;""</formula>
    </cfRule>
  </conditionalFormatting>
  <conditionalFormatting sqref="B27:J27">
    <cfRule type="expression" dxfId="46" priority="2">
      <formula>B27&lt;&gt;""</formula>
    </cfRule>
  </conditionalFormatting>
  <conditionalFormatting sqref="B31:J31">
    <cfRule type="expression" dxfId="45" priority="1">
      <formula>B31&lt;&gt;""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8"/>
      <c r="C2" s="19"/>
      <c r="D2" s="19"/>
      <c r="E2" s="19"/>
      <c r="F2" s="19"/>
      <c r="G2" s="19"/>
      <c r="H2" s="19"/>
      <c r="I2" s="19"/>
      <c r="J2" s="20"/>
      <c r="K2" s="42" t="s">
        <v>17</v>
      </c>
      <c r="L2" s="43">
        <v>2013</v>
      </c>
      <c r="M2" s="43"/>
      <c r="N2" s="79">
        <f>Kalenderår</f>
        <v>2015</v>
      </c>
    </row>
    <row r="3" spans="1:14" ht="21" customHeight="1" x14ac:dyDescent="0.2">
      <c r="A3" s="4"/>
      <c r="B3" s="68" t="s">
        <v>13</v>
      </c>
      <c r="C3" s="2" t="s">
        <v>1</v>
      </c>
      <c r="D3" s="2" t="s">
        <v>2</v>
      </c>
      <c r="E3" s="2" t="s">
        <v>32</v>
      </c>
      <c r="F3" s="2" t="s">
        <v>2</v>
      </c>
      <c r="G3" s="2" t="s">
        <v>3</v>
      </c>
      <c r="H3" s="2" t="s">
        <v>33</v>
      </c>
      <c r="I3" s="2" t="s">
        <v>4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8">
        <f>IF(DAY(AugSøn1)=1,AugSøn1-6,AugSøn1+1)</f>
        <v>42212</v>
      </c>
      <c r="D4" s="8">
        <f>IF(DAY(AugSøn1)=1,AugSøn1-5,AugSøn1+2)</f>
        <v>42213</v>
      </c>
      <c r="E4" s="8">
        <f>IF(DAY(AugSøn1)=1,AugSøn1-4,AugSøn1+3)</f>
        <v>42214</v>
      </c>
      <c r="F4" s="8">
        <f>IF(DAY(AugSøn1)=1,AugSøn1-3,AugSøn1+4)</f>
        <v>42215</v>
      </c>
      <c r="G4" s="8">
        <f>IF(DAY(AugSøn1)=1,AugSøn1-2,AugSøn1+5)</f>
        <v>42216</v>
      </c>
      <c r="H4" s="8">
        <f>IF(DAY(AugSøn1)=1,AugSøn1-1,AugSøn1+6)</f>
        <v>42217</v>
      </c>
      <c r="I4" s="8">
        <f>IF(DAY(AugSøn1)=1,AugSøn1,AugSøn1+7)</f>
        <v>42218</v>
      </c>
      <c r="J4" s="5"/>
      <c r="K4" s="46" t="s">
        <v>18</v>
      </c>
      <c r="L4" s="14"/>
      <c r="M4" s="47"/>
      <c r="N4" s="48"/>
    </row>
    <row r="5" spans="1:14" ht="18" customHeight="1" x14ac:dyDescent="0.2">
      <c r="A5" s="4"/>
      <c r="B5" s="26"/>
      <c r="C5" s="8">
        <f>IF(DAY(AugSøn1)=1,AugSøn1+1,AugSøn1+8)</f>
        <v>42219</v>
      </c>
      <c r="D5" s="8">
        <f>IF(DAY(AugSøn1)=1,AugSøn1+2,AugSøn1+9)</f>
        <v>42220</v>
      </c>
      <c r="E5" s="8">
        <f>IF(DAY(AugSøn1)=1,AugSøn1+3,AugSøn1+10)</f>
        <v>42221</v>
      </c>
      <c r="F5" s="8">
        <f>IF(DAY(AugSøn1)=1,AugSøn1+4,AugSøn1+11)</f>
        <v>42222</v>
      </c>
      <c r="G5" s="8">
        <f>IF(DAY(AugSøn1)=1,AugSøn1+5,AugSøn1+12)</f>
        <v>42223</v>
      </c>
      <c r="H5" s="8">
        <f>IF(DAY(AugSøn1)=1,AugSøn1+6,AugSøn1+13)</f>
        <v>42224</v>
      </c>
      <c r="I5" s="8">
        <f>IF(DAY(AugSøn1)=1,AugSøn1+7,AugSøn1+14)</f>
        <v>42225</v>
      </c>
      <c r="J5" s="5"/>
      <c r="K5" s="32"/>
      <c r="L5" s="15"/>
      <c r="M5" s="33"/>
      <c r="N5" s="34"/>
    </row>
    <row r="6" spans="1:14" ht="18" customHeight="1" x14ac:dyDescent="0.2">
      <c r="A6" s="4"/>
      <c r="B6" s="26"/>
      <c r="C6" s="8">
        <f>IF(DAY(AugSøn1)=1,AugSøn1+8,AugSøn1+15)</f>
        <v>42226</v>
      </c>
      <c r="D6" s="8">
        <f>IF(DAY(AugSøn1)=1,AugSøn1+9,AugSøn1+16)</f>
        <v>42227</v>
      </c>
      <c r="E6" s="8">
        <f>IF(DAY(AugSøn1)=1,AugSøn1+10,AugSøn1+17)</f>
        <v>42228</v>
      </c>
      <c r="F6" s="8">
        <f>IF(DAY(AugSøn1)=1,AugSøn1+11,AugSøn1+18)</f>
        <v>42229</v>
      </c>
      <c r="G6" s="8">
        <f>IF(DAY(AugSøn1)=1,AugSøn1+12,AugSøn1+19)</f>
        <v>42230</v>
      </c>
      <c r="H6" s="8">
        <f>IF(DAY(AugSøn1)=1,AugSøn1+13,AugSøn1+20)</f>
        <v>42231</v>
      </c>
      <c r="I6" s="8">
        <f>IF(DAY(AugSøn1)=1,AugSøn1+14,AugSøn1+21)</f>
        <v>42232</v>
      </c>
      <c r="J6" s="5"/>
      <c r="K6" s="32"/>
      <c r="L6" s="15"/>
      <c r="M6" s="33"/>
      <c r="N6" s="34"/>
    </row>
    <row r="7" spans="1:14" ht="18" customHeight="1" x14ac:dyDescent="0.2">
      <c r="A7" s="4"/>
      <c r="B7" s="26"/>
      <c r="C7" s="8">
        <f>IF(DAY(AugSøn1)=1,AugSøn1+15,AugSøn1+22)</f>
        <v>42233</v>
      </c>
      <c r="D7" s="8">
        <f>IF(DAY(AugSøn1)=1,AugSøn1+16,AugSøn1+23)</f>
        <v>42234</v>
      </c>
      <c r="E7" s="8">
        <f>IF(DAY(AugSøn1)=1,AugSøn1+17,AugSøn1+24)</f>
        <v>42235</v>
      </c>
      <c r="F7" s="8">
        <f>IF(DAY(AugSøn1)=1,AugSøn1+18,AugSøn1+25)</f>
        <v>42236</v>
      </c>
      <c r="G7" s="8">
        <f>IF(DAY(AugSøn1)=1,AugSøn1+19,AugSøn1+26)</f>
        <v>42237</v>
      </c>
      <c r="H7" s="8">
        <f>IF(DAY(AugSøn1)=1,AugSøn1+20,AugSøn1+27)</f>
        <v>42238</v>
      </c>
      <c r="I7" s="8">
        <f>IF(DAY(AugSøn1)=1,AugSøn1+21,AugSøn1+28)</f>
        <v>42239</v>
      </c>
      <c r="J7" s="5"/>
      <c r="K7" s="9"/>
      <c r="L7" s="15"/>
      <c r="M7" s="33"/>
      <c r="N7" s="34"/>
    </row>
    <row r="8" spans="1:14" ht="18.75" customHeight="1" x14ac:dyDescent="0.2">
      <c r="A8" s="4"/>
      <c r="B8" s="26"/>
      <c r="C8" s="8">
        <f>IF(DAY(AugSøn1)=1,AugSøn1+22,AugSøn1+29)</f>
        <v>42240</v>
      </c>
      <c r="D8" s="8">
        <f>IF(DAY(AugSøn1)=1,AugSøn1+23,AugSøn1+30)</f>
        <v>42241</v>
      </c>
      <c r="E8" s="8">
        <f>IF(DAY(AugSøn1)=1,AugSøn1+24,AugSøn1+31)</f>
        <v>42242</v>
      </c>
      <c r="F8" s="8">
        <f>IF(DAY(AugSøn1)=1,AugSøn1+25,AugSøn1+32)</f>
        <v>42243</v>
      </c>
      <c r="G8" s="8">
        <f>IF(DAY(AugSøn1)=1,AugSøn1+26,AugSøn1+33)</f>
        <v>42244</v>
      </c>
      <c r="H8" s="8">
        <f>IF(DAY(AugSøn1)=1,AugSøn1+27,AugSøn1+34)</f>
        <v>42245</v>
      </c>
      <c r="I8" s="8">
        <f>IF(DAY(AugSøn1)=1,AugSøn1+28,AugSøn1+35)</f>
        <v>42246</v>
      </c>
      <c r="J8" s="5"/>
      <c r="K8" s="9"/>
      <c r="L8" s="15"/>
      <c r="M8" s="33"/>
      <c r="N8" s="34"/>
    </row>
    <row r="9" spans="1:14" ht="18" customHeight="1" x14ac:dyDescent="0.2">
      <c r="A9" s="4"/>
      <c r="B9" s="26"/>
      <c r="C9" s="8">
        <f>IF(DAY(AugSøn1)=1,AugSøn1+29,AugSøn1+36)</f>
        <v>42247</v>
      </c>
      <c r="D9" s="8">
        <f>IF(DAY(AugSøn1)=1,AugSøn1+30,AugSøn1+37)</f>
        <v>42248</v>
      </c>
      <c r="E9" s="8">
        <f>IF(DAY(AugSøn1)=1,AugSøn1+31,AugSøn1+38)</f>
        <v>42249</v>
      </c>
      <c r="F9" s="8">
        <f>IF(DAY(AugSøn1)=1,AugSøn1+32,AugSøn1+39)</f>
        <v>42250</v>
      </c>
      <c r="G9" s="8">
        <f>IF(DAY(AugSøn1)=1,AugSøn1+33,AugSøn1+40)</f>
        <v>42251</v>
      </c>
      <c r="H9" s="8">
        <f>IF(DAY(AugSøn1)=1,AugSøn1+34,AugSøn1+41)</f>
        <v>42252</v>
      </c>
      <c r="I9" s="8">
        <f>IF(DAY(AugSøn1)=1,AugSøn1+35,AugSøn1+42)</f>
        <v>42253</v>
      </c>
      <c r="J9" s="5"/>
      <c r="K9" s="10"/>
      <c r="L9" s="16"/>
      <c r="M9" s="35"/>
      <c r="N9" s="36"/>
    </row>
    <row r="10" spans="1:14" ht="18" customHeight="1" x14ac:dyDescent="0.2">
      <c r="A10" s="4"/>
      <c r="B10" s="27"/>
      <c r="C10" s="21"/>
      <c r="D10" s="21"/>
      <c r="E10" s="21"/>
      <c r="F10" s="21"/>
      <c r="G10" s="21"/>
      <c r="H10" s="21"/>
      <c r="I10" s="21"/>
      <c r="J10" s="22"/>
      <c r="K10" s="31" t="s">
        <v>19</v>
      </c>
      <c r="L10" s="14"/>
      <c r="M10" s="37"/>
      <c r="N10" s="38"/>
    </row>
    <row r="11" spans="1:14" ht="18" customHeight="1" x14ac:dyDescent="0.2">
      <c r="A11" s="4"/>
      <c r="B11" s="70" t="s">
        <v>31</v>
      </c>
      <c r="C11" s="71"/>
      <c r="D11" s="71"/>
      <c r="E11" s="71"/>
      <c r="F11" s="71"/>
      <c r="G11" s="71"/>
      <c r="H11" s="71"/>
      <c r="I11" s="71"/>
      <c r="J11" s="72"/>
      <c r="K11" s="32"/>
      <c r="L11" s="15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5"/>
      <c r="M12" s="33"/>
      <c r="N12" s="34"/>
    </row>
    <row r="13" spans="1:14" ht="18" customHeight="1" x14ac:dyDescent="0.2">
      <c r="B13" s="3" t="s">
        <v>18</v>
      </c>
      <c r="C13" s="39" t="s">
        <v>19</v>
      </c>
      <c r="D13" s="41"/>
      <c r="E13" s="39" t="s">
        <v>20</v>
      </c>
      <c r="F13" s="41"/>
      <c r="G13" s="39" t="s">
        <v>21</v>
      </c>
      <c r="H13" s="41"/>
      <c r="I13" s="39" t="s">
        <v>22</v>
      </c>
      <c r="J13" s="40"/>
      <c r="K13" s="9"/>
      <c r="L13" s="15"/>
      <c r="M13" s="33"/>
      <c r="N13" s="34"/>
    </row>
    <row r="14" spans="1:14" ht="18" customHeight="1" x14ac:dyDescent="0.2">
      <c r="B14" s="29" t="s">
        <v>5</v>
      </c>
      <c r="C14" s="53"/>
      <c r="D14" s="54"/>
      <c r="E14" s="53" t="s">
        <v>5</v>
      </c>
      <c r="F14" s="54"/>
      <c r="G14" s="53"/>
      <c r="H14" s="54"/>
      <c r="I14" s="53" t="s">
        <v>5</v>
      </c>
      <c r="J14" s="62"/>
      <c r="K14" s="9"/>
      <c r="L14" s="15"/>
      <c r="M14" s="33"/>
      <c r="N14" s="34"/>
    </row>
    <row r="15" spans="1:14" ht="18" customHeight="1" x14ac:dyDescent="0.2">
      <c r="B15" s="6" t="s">
        <v>25</v>
      </c>
      <c r="C15" s="51"/>
      <c r="D15" s="52"/>
      <c r="E15" s="51" t="s">
        <v>25</v>
      </c>
      <c r="F15" s="52"/>
      <c r="G15" s="51"/>
      <c r="H15" s="52"/>
      <c r="I15" s="59" t="s">
        <v>25</v>
      </c>
      <c r="J15" s="60"/>
      <c r="K15" s="11"/>
      <c r="L15" s="17"/>
      <c r="M15" s="35"/>
      <c r="N15" s="36"/>
    </row>
    <row r="16" spans="1:14" ht="18" customHeight="1" x14ac:dyDescent="0.2">
      <c r="B16" s="29"/>
      <c r="C16" s="53" t="s">
        <v>6</v>
      </c>
      <c r="D16" s="54"/>
      <c r="E16" s="53"/>
      <c r="F16" s="54"/>
      <c r="G16" s="53" t="s">
        <v>6</v>
      </c>
      <c r="H16" s="54"/>
      <c r="I16" s="63"/>
      <c r="J16" s="64"/>
      <c r="K16" s="31" t="s">
        <v>20</v>
      </c>
      <c r="L16" s="14"/>
      <c r="M16" s="37"/>
      <c r="N16" s="38"/>
    </row>
    <row r="17" spans="2:14" ht="18" customHeight="1" x14ac:dyDescent="0.2">
      <c r="B17" s="6"/>
      <c r="C17" s="51" t="s">
        <v>26</v>
      </c>
      <c r="D17" s="52"/>
      <c r="E17" s="51"/>
      <c r="F17" s="52"/>
      <c r="G17" s="51" t="s">
        <v>26</v>
      </c>
      <c r="H17" s="52"/>
      <c r="I17" s="59"/>
      <c r="J17" s="60"/>
      <c r="K17" s="32"/>
      <c r="L17" s="15"/>
      <c r="M17" s="33"/>
      <c r="N17" s="34"/>
    </row>
    <row r="18" spans="2:14" ht="18" customHeight="1" x14ac:dyDescent="0.2">
      <c r="B18" s="30" t="s">
        <v>7</v>
      </c>
      <c r="C18" s="55"/>
      <c r="D18" s="56"/>
      <c r="E18" s="55" t="s">
        <v>7</v>
      </c>
      <c r="F18" s="56"/>
      <c r="G18" s="55"/>
      <c r="H18" s="56"/>
      <c r="I18" s="55" t="s">
        <v>7</v>
      </c>
      <c r="J18" s="61"/>
      <c r="K18" s="32"/>
      <c r="L18" s="15"/>
      <c r="M18" s="33"/>
      <c r="N18" s="34"/>
    </row>
    <row r="19" spans="2:14" ht="18" customHeight="1" x14ac:dyDescent="0.2">
      <c r="B19" s="6" t="s">
        <v>27</v>
      </c>
      <c r="C19" s="51"/>
      <c r="D19" s="52"/>
      <c r="E19" s="51" t="s">
        <v>27</v>
      </c>
      <c r="F19" s="52"/>
      <c r="G19" s="51"/>
      <c r="H19" s="52"/>
      <c r="I19" s="59" t="s">
        <v>27</v>
      </c>
      <c r="J19" s="60"/>
      <c r="K19" s="9"/>
      <c r="L19" s="15"/>
      <c r="M19" s="33"/>
      <c r="N19" s="34"/>
    </row>
    <row r="20" spans="2:14" ht="18" customHeight="1" x14ac:dyDescent="0.2">
      <c r="B20" s="29"/>
      <c r="C20" s="53"/>
      <c r="D20" s="54"/>
      <c r="E20" s="53"/>
      <c r="F20" s="54"/>
      <c r="G20" s="53"/>
      <c r="H20" s="54"/>
      <c r="I20" s="53"/>
      <c r="J20" s="62"/>
      <c r="K20" s="9"/>
      <c r="L20" s="15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1"/>
      <c r="L21" s="17"/>
      <c r="M21" s="35"/>
      <c r="N21" s="36"/>
    </row>
    <row r="22" spans="2:14" ht="18" customHeight="1" x14ac:dyDescent="0.2">
      <c r="B22" s="29"/>
      <c r="C22" s="53"/>
      <c r="D22" s="54"/>
      <c r="E22" s="53"/>
      <c r="F22" s="54"/>
      <c r="G22" s="53"/>
      <c r="H22" s="54"/>
      <c r="I22" s="53"/>
      <c r="J22" s="62"/>
      <c r="K22" s="31" t="s">
        <v>21</v>
      </c>
      <c r="L22" s="14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5"/>
      <c r="M23" s="33"/>
      <c r="N23" s="34"/>
    </row>
    <row r="24" spans="2:14" ht="18" customHeight="1" x14ac:dyDescent="0.2">
      <c r="B24" s="29"/>
      <c r="C24" s="53"/>
      <c r="D24" s="54"/>
      <c r="E24" s="53"/>
      <c r="F24" s="54"/>
      <c r="G24" s="53"/>
      <c r="H24" s="54"/>
      <c r="I24" s="53"/>
      <c r="J24" s="62"/>
      <c r="K24" s="32"/>
      <c r="L24" s="15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5"/>
      <c r="M25" s="33"/>
      <c r="N25" s="34"/>
    </row>
    <row r="26" spans="2:14" ht="18" customHeight="1" x14ac:dyDescent="0.2">
      <c r="B26" s="29">
        <v>0.58333333333333337</v>
      </c>
      <c r="C26" s="53"/>
      <c r="D26" s="54"/>
      <c r="E26" s="53">
        <v>0.58333333333333337</v>
      </c>
      <c r="F26" s="54"/>
      <c r="G26" s="53"/>
      <c r="H26" s="54"/>
      <c r="I26" s="53">
        <v>0.58333333333333337</v>
      </c>
      <c r="J26" s="62"/>
      <c r="K26" s="9"/>
      <c r="L26" s="15"/>
      <c r="M26" s="33"/>
      <c r="N26" s="34"/>
    </row>
    <row r="27" spans="2:14" ht="18" customHeight="1" x14ac:dyDescent="0.2">
      <c r="B27" s="6" t="s">
        <v>28</v>
      </c>
      <c r="C27" s="51"/>
      <c r="D27" s="52"/>
      <c r="E27" s="51" t="s">
        <v>28</v>
      </c>
      <c r="F27" s="52"/>
      <c r="G27" s="51"/>
      <c r="H27" s="52"/>
      <c r="I27" s="59" t="s">
        <v>28</v>
      </c>
      <c r="J27" s="60"/>
      <c r="K27" s="11"/>
      <c r="L27" s="17"/>
      <c r="M27" s="35"/>
      <c r="N27" s="36"/>
    </row>
    <row r="28" spans="2:14" ht="18" customHeight="1" x14ac:dyDescent="0.2">
      <c r="B28" s="29"/>
      <c r="C28" s="53"/>
      <c r="D28" s="54"/>
      <c r="E28" s="53"/>
      <c r="F28" s="54"/>
      <c r="G28" s="53"/>
      <c r="H28" s="54"/>
      <c r="I28" s="53"/>
      <c r="J28" s="62"/>
      <c r="K28" s="31" t="s">
        <v>22</v>
      </c>
      <c r="L28" s="14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5"/>
      <c r="M29" s="33"/>
      <c r="N29" s="34"/>
    </row>
    <row r="30" spans="2:14" ht="18" customHeight="1" x14ac:dyDescent="0.2">
      <c r="B30" s="29"/>
      <c r="C30" s="53">
        <v>0.66666666666666663</v>
      </c>
      <c r="D30" s="54"/>
      <c r="E30" s="53"/>
      <c r="F30" s="54"/>
      <c r="G30" s="53">
        <v>0.66666666666666663</v>
      </c>
      <c r="H30" s="54"/>
      <c r="I30" s="75"/>
      <c r="J30" s="76"/>
      <c r="K30" s="32"/>
      <c r="L30" s="15"/>
      <c r="M30" s="33"/>
      <c r="N30" s="34"/>
    </row>
    <row r="31" spans="2:14" ht="18" customHeight="1" x14ac:dyDescent="0.2">
      <c r="B31" s="6"/>
      <c r="C31" s="51" t="s">
        <v>29</v>
      </c>
      <c r="D31" s="52"/>
      <c r="E31" s="51"/>
      <c r="F31" s="52"/>
      <c r="G31" s="51" t="s">
        <v>29</v>
      </c>
      <c r="H31" s="52"/>
      <c r="I31" s="51"/>
      <c r="J31" s="67"/>
      <c r="K31" s="12"/>
      <c r="L31" s="15"/>
      <c r="M31" s="33"/>
      <c r="N31" s="34"/>
    </row>
    <row r="32" spans="2:14" ht="18" customHeight="1" x14ac:dyDescent="0.2">
      <c r="B32" s="29"/>
      <c r="C32" s="53"/>
      <c r="D32" s="54"/>
      <c r="E32" s="53"/>
      <c r="F32" s="54"/>
      <c r="G32" s="53"/>
      <c r="H32" s="54"/>
      <c r="I32" s="63"/>
      <c r="J32" s="64"/>
      <c r="K32" s="12"/>
      <c r="L32" s="15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3"/>
      <c r="L33" s="18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44" priority="9" stopIfTrue="1">
      <formula>DAY(C4)&gt;8</formula>
    </cfRule>
  </conditionalFormatting>
  <conditionalFormatting sqref="C8:I10">
    <cfRule type="expression" dxfId="43" priority="8" stopIfTrue="1">
      <formula>AND(DAY(C8)&gt;=1,DAY(C8)&lt;=15)</formula>
    </cfRule>
  </conditionalFormatting>
  <conditionalFormatting sqref="C4:I9">
    <cfRule type="expression" dxfId="42" priority="10">
      <formula>VLOOKUP(DAY(C4),OpgaveDage,1,FALSE)=DAY(C4)</formula>
    </cfRule>
  </conditionalFormatting>
  <conditionalFormatting sqref="B14:J14 B16:J16 B18:J18 B17 I17:J17 B20:J26 B28:J30 B32:J33">
    <cfRule type="expression" dxfId="41" priority="6">
      <formula>B14&lt;&gt;""</formula>
    </cfRule>
  </conditionalFormatting>
  <conditionalFormatting sqref="B15:J15">
    <cfRule type="expression" dxfId="40" priority="5">
      <formula>B15&lt;&gt;""</formula>
    </cfRule>
  </conditionalFormatting>
  <conditionalFormatting sqref="C17:H17">
    <cfRule type="expression" dxfId="39" priority="4">
      <formula>C17&lt;&gt;""</formula>
    </cfRule>
  </conditionalFormatting>
  <conditionalFormatting sqref="B19:J19">
    <cfRule type="expression" dxfId="38" priority="3">
      <formula>B19&lt;&gt;""</formula>
    </cfRule>
  </conditionalFormatting>
  <conditionalFormatting sqref="B27:J27">
    <cfRule type="expression" dxfId="37" priority="2">
      <formula>B27&lt;&gt;""</formula>
    </cfRule>
  </conditionalFormatting>
  <conditionalFormatting sqref="B31:J31">
    <cfRule type="expression" dxfId="36" priority="1">
      <formula>B31&lt;&gt;""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8"/>
      <c r="C2" s="19"/>
      <c r="D2" s="19"/>
      <c r="E2" s="19"/>
      <c r="F2" s="19"/>
      <c r="G2" s="19"/>
      <c r="H2" s="19"/>
      <c r="I2" s="19"/>
      <c r="J2" s="20"/>
      <c r="K2" s="42" t="s">
        <v>17</v>
      </c>
      <c r="L2" s="43">
        <v>2013</v>
      </c>
      <c r="M2" s="43"/>
      <c r="N2" s="79">
        <f>Kalenderår</f>
        <v>2015</v>
      </c>
    </row>
    <row r="3" spans="1:14" ht="21" customHeight="1" x14ac:dyDescent="0.2">
      <c r="A3" s="4"/>
      <c r="B3" s="68" t="s">
        <v>14</v>
      </c>
      <c r="C3" s="2" t="s">
        <v>1</v>
      </c>
      <c r="D3" s="2" t="s">
        <v>2</v>
      </c>
      <c r="E3" s="2" t="s">
        <v>32</v>
      </c>
      <c r="F3" s="2" t="s">
        <v>2</v>
      </c>
      <c r="G3" s="2" t="s">
        <v>3</v>
      </c>
      <c r="H3" s="2" t="s">
        <v>33</v>
      </c>
      <c r="I3" s="2" t="s">
        <v>4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8">
        <f>IF(DAY(SepSøn1)=1,SepSøn1-6,SepSøn1+1)</f>
        <v>42247</v>
      </c>
      <c r="D4" s="8">
        <f>IF(DAY(SepSøn1)=1,SepSøn1-5,SepSøn1+2)</f>
        <v>42248</v>
      </c>
      <c r="E4" s="8">
        <f>IF(DAY(SepSøn1)=1,SepSøn1-4,SepSøn1+3)</f>
        <v>42249</v>
      </c>
      <c r="F4" s="8">
        <f>IF(DAY(SepSøn1)=1,SepSøn1-3,SepSøn1+4)</f>
        <v>42250</v>
      </c>
      <c r="G4" s="8">
        <f>IF(DAY(SepSøn1)=1,SepSøn1-2,SepSøn1+5)</f>
        <v>42251</v>
      </c>
      <c r="H4" s="8">
        <f>IF(DAY(SepSøn1)=1,SepSøn1-1,SepSøn1+6)</f>
        <v>42252</v>
      </c>
      <c r="I4" s="8">
        <f>IF(DAY(SepSøn1)=1,SepSøn1,SepSøn1+7)</f>
        <v>42253</v>
      </c>
      <c r="J4" s="5"/>
      <c r="K4" s="46" t="s">
        <v>18</v>
      </c>
      <c r="L4" s="14"/>
      <c r="M4" s="47"/>
      <c r="N4" s="48"/>
    </row>
    <row r="5" spans="1:14" ht="18" customHeight="1" x14ac:dyDescent="0.2">
      <c r="A5" s="4"/>
      <c r="B5" s="26"/>
      <c r="C5" s="8">
        <f>IF(DAY(SepSøn1)=1,SepSøn1+1,SepSøn1+8)</f>
        <v>42254</v>
      </c>
      <c r="D5" s="8">
        <f>IF(DAY(SepSøn1)=1,SepSøn1+2,SepSøn1+9)</f>
        <v>42255</v>
      </c>
      <c r="E5" s="8">
        <f>IF(DAY(SepSøn1)=1,SepSøn1+3,SepSøn1+10)</f>
        <v>42256</v>
      </c>
      <c r="F5" s="8">
        <f>IF(DAY(SepSøn1)=1,SepSøn1+4,SepSøn1+11)</f>
        <v>42257</v>
      </c>
      <c r="G5" s="8">
        <f>IF(DAY(SepSøn1)=1,SepSøn1+5,SepSøn1+12)</f>
        <v>42258</v>
      </c>
      <c r="H5" s="8">
        <f>IF(DAY(SepSøn1)=1,SepSøn1+6,SepSøn1+13)</f>
        <v>42259</v>
      </c>
      <c r="I5" s="8">
        <f>IF(DAY(SepSøn1)=1,SepSøn1+7,SepSøn1+14)</f>
        <v>42260</v>
      </c>
      <c r="J5" s="5"/>
      <c r="K5" s="32"/>
      <c r="L5" s="15"/>
      <c r="M5" s="33"/>
      <c r="N5" s="34"/>
    </row>
    <row r="6" spans="1:14" ht="18" customHeight="1" x14ac:dyDescent="0.2">
      <c r="A6" s="4"/>
      <c r="B6" s="26"/>
      <c r="C6" s="8">
        <f>IF(DAY(SepSøn1)=1,SepSøn1+8,SepSøn1+15)</f>
        <v>42261</v>
      </c>
      <c r="D6" s="8">
        <f>IF(DAY(SepSøn1)=1,SepSøn1+9,SepSøn1+16)</f>
        <v>42262</v>
      </c>
      <c r="E6" s="8">
        <f>IF(DAY(SepSøn1)=1,SepSøn1+10,SepSøn1+17)</f>
        <v>42263</v>
      </c>
      <c r="F6" s="8">
        <f>IF(DAY(SepSøn1)=1,SepSøn1+11,SepSøn1+18)</f>
        <v>42264</v>
      </c>
      <c r="G6" s="8">
        <f>IF(DAY(SepSøn1)=1,SepSøn1+12,SepSøn1+19)</f>
        <v>42265</v>
      </c>
      <c r="H6" s="8">
        <f>IF(DAY(SepSøn1)=1,SepSøn1+13,SepSøn1+20)</f>
        <v>42266</v>
      </c>
      <c r="I6" s="8">
        <f>IF(DAY(SepSøn1)=1,SepSøn1+14,SepSøn1+21)</f>
        <v>42267</v>
      </c>
      <c r="J6" s="5"/>
      <c r="K6" s="32"/>
      <c r="L6" s="15"/>
      <c r="M6" s="33"/>
      <c r="N6" s="34"/>
    </row>
    <row r="7" spans="1:14" ht="18" customHeight="1" x14ac:dyDescent="0.2">
      <c r="A7" s="4"/>
      <c r="B7" s="26"/>
      <c r="C7" s="8">
        <f>IF(DAY(SepSøn1)=1,SepSøn1+15,SepSøn1+22)</f>
        <v>42268</v>
      </c>
      <c r="D7" s="8">
        <f>IF(DAY(SepSøn1)=1,SepSøn1+16,SepSøn1+23)</f>
        <v>42269</v>
      </c>
      <c r="E7" s="8">
        <f>IF(DAY(SepSøn1)=1,SepSøn1+17,SepSøn1+24)</f>
        <v>42270</v>
      </c>
      <c r="F7" s="8">
        <f>IF(DAY(SepSøn1)=1,SepSøn1+18,SepSøn1+25)</f>
        <v>42271</v>
      </c>
      <c r="G7" s="8">
        <f>IF(DAY(SepSøn1)=1,SepSøn1+19,SepSøn1+26)</f>
        <v>42272</v>
      </c>
      <c r="H7" s="8">
        <f>IF(DAY(SepSøn1)=1,SepSøn1+20,SepSøn1+27)</f>
        <v>42273</v>
      </c>
      <c r="I7" s="8">
        <f>IF(DAY(SepSøn1)=1,SepSøn1+21,SepSøn1+28)</f>
        <v>42274</v>
      </c>
      <c r="J7" s="5"/>
      <c r="K7" s="9"/>
      <c r="L7" s="15"/>
      <c r="M7" s="33"/>
      <c r="N7" s="34"/>
    </row>
    <row r="8" spans="1:14" ht="18.75" customHeight="1" x14ac:dyDescent="0.2">
      <c r="A8" s="4"/>
      <c r="B8" s="26"/>
      <c r="C8" s="8">
        <f>IF(DAY(SepSøn1)=1,SepSøn1+22,SepSøn1+29)</f>
        <v>42275</v>
      </c>
      <c r="D8" s="8">
        <f>IF(DAY(SepSøn1)=1,SepSøn1+23,SepSøn1+30)</f>
        <v>42276</v>
      </c>
      <c r="E8" s="8">
        <f>IF(DAY(SepSøn1)=1,SepSøn1+24,SepSøn1+31)</f>
        <v>42277</v>
      </c>
      <c r="F8" s="8">
        <f>IF(DAY(SepSøn1)=1,SepSøn1+25,SepSøn1+32)</f>
        <v>42278</v>
      </c>
      <c r="G8" s="8">
        <f>IF(DAY(SepSøn1)=1,SepSøn1+26,SepSøn1+33)</f>
        <v>42279</v>
      </c>
      <c r="H8" s="8">
        <f>IF(DAY(SepSøn1)=1,SepSøn1+27,SepSøn1+34)</f>
        <v>42280</v>
      </c>
      <c r="I8" s="8">
        <f>IF(DAY(SepSøn1)=1,SepSøn1+28,SepSøn1+35)</f>
        <v>42281</v>
      </c>
      <c r="J8" s="5"/>
      <c r="K8" s="9"/>
      <c r="L8" s="15"/>
      <c r="M8" s="33"/>
      <c r="N8" s="34"/>
    </row>
    <row r="9" spans="1:14" ht="18" customHeight="1" x14ac:dyDescent="0.2">
      <c r="A9" s="4"/>
      <c r="B9" s="26"/>
      <c r="C9" s="8">
        <f>IF(DAY(SepSøn1)=1,SepSøn1+29,SepSøn1+36)</f>
        <v>42282</v>
      </c>
      <c r="D9" s="8">
        <f>IF(DAY(SepSøn1)=1,SepSøn1+30,SepSøn1+37)</f>
        <v>42283</v>
      </c>
      <c r="E9" s="8">
        <f>IF(DAY(SepSøn1)=1,SepSøn1+31,SepSøn1+38)</f>
        <v>42284</v>
      </c>
      <c r="F9" s="8">
        <f>IF(DAY(SepSøn1)=1,SepSøn1+32,SepSøn1+39)</f>
        <v>42285</v>
      </c>
      <c r="G9" s="8">
        <f>IF(DAY(SepSøn1)=1,SepSøn1+33,SepSøn1+40)</f>
        <v>42286</v>
      </c>
      <c r="H9" s="8">
        <f>IF(DAY(SepSøn1)=1,SepSøn1+34,SepSøn1+41)</f>
        <v>42287</v>
      </c>
      <c r="I9" s="8">
        <f>IF(DAY(SepSøn1)=1,SepSøn1+35,SepSøn1+42)</f>
        <v>42288</v>
      </c>
      <c r="J9" s="5"/>
      <c r="K9" s="10"/>
      <c r="L9" s="16"/>
      <c r="M9" s="35"/>
      <c r="N9" s="36"/>
    </row>
    <row r="10" spans="1:14" ht="18" customHeight="1" x14ac:dyDescent="0.2">
      <c r="A10" s="4"/>
      <c r="B10" s="27"/>
      <c r="C10" s="21"/>
      <c r="D10" s="21"/>
      <c r="E10" s="21"/>
      <c r="F10" s="21"/>
      <c r="G10" s="21"/>
      <c r="H10" s="21"/>
      <c r="I10" s="21"/>
      <c r="J10" s="22"/>
      <c r="K10" s="31" t="s">
        <v>19</v>
      </c>
      <c r="L10" s="14"/>
      <c r="M10" s="37"/>
      <c r="N10" s="38"/>
    </row>
    <row r="11" spans="1:14" ht="18" customHeight="1" x14ac:dyDescent="0.2">
      <c r="A11" s="4"/>
      <c r="B11" s="70" t="s">
        <v>31</v>
      </c>
      <c r="C11" s="71"/>
      <c r="D11" s="71"/>
      <c r="E11" s="71"/>
      <c r="F11" s="71"/>
      <c r="G11" s="71"/>
      <c r="H11" s="71"/>
      <c r="I11" s="71"/>
      <c r="J11" s="72"/>
      <c r="K11" s="32"/>
      <c r="L11" s="15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5"/>
      <c r="M12" s="33"/>
      <c r="N12" s="34"/>
    </row>
    <row r="13" spans="1:14" ht="18" customHeight="1" x14ac:dyDescent="0.2">
      <c r="B13" s="3" t="s">
        <v>18</v>
      </c>
      <c r="C13" s="39" t="s">
        <v>19</v>
      </c>
      <c r="D13" s="41"/>
      <c r="E13" s="39" t="s">
        <v>20</v>
      </c>
      <c r="F13" s="41"/>
      <c r="G13" s="39" t="s">
        <v>21</v>
      </c>
      <c r="H13" s="41"/>
      <c r="I13" s="39" t="s">
        <v>22</v>
      </c>
      <c r="J13" s="40"/>
      <c r="K13" s="9"/>
      <c r="L13" s="15"/>
      <c r="M13" s="33"/>
      <c r="N13" s="34"/>
    </row>
    <row r="14" spans="1:14" ht="18" customHeight="1" x14ac:dyDescent="0.2">
      <c r="B14" s="29" t="s">
        <v>5</v>
      </c>
      <c r="C14" s="53"/>
      <c r="D14" s="54"/>
      <c r="E14" s="53" t="s">
        <v>5</v>
      </c>
      <c r="F14" s="54"/>
      <c r="G14" s="53"/>
      <c r="H14" s="54"/>
      <c r="I14" s="53" t="s">
        <v>5</v>
      </c>
      <c r="J14" s="62"/>
      <c r="K14" s="9"/>
      <c r="L14" s="15"/>
      <c r="M14" s="33"/>
      <c r="N14" s="34"/>
    </row>
    <row r="15" spans="1:14" ht="18" customHeight="1" x14ac:dyDescent="0.2">
      <c r="B15" s="6" t="s">
        <v>25</v>
      </c>
      <c r="C15" s="51"/>
      <c r="D15" s="52"/>
      <c r="E15" s="51" t="s">
        <v>25</v>
      </c>
      <c r="F15" s="52"/>
      <c r="G15" s="51"/>
      <c r="H15" s="52"/>
      <c r="I15" s="59" t="s">
        <v>25</v>
      </c>
      <c r="J15" s="60"/>
      <c r="K15" s="11"/>
      <c r="L15" s="17"/>
      <c r="M15" s="35"/>
      <c r="N15" s="36"/>
    </row>
    <row r="16" spans="1:14" ht="18" customHeight="1" x14ac:dyDescent="0.2">
      <c r="B16" s="29"/>
      <c r="C16" s="53" t="s">
        <v>6</v>
      </c>
      <c r="D16" s="54"/>
      <c r="E16" s="53"/>
      <c r="F16" s="54"/>
      <c r="G16" s="53" t="s">
        <v>6</v>
      </c>
      <c r="H16" s="54"/>
      <c r="I16" s="63"/>
      <c r="J16" s="64"/>
      <c r="K16" s="31" t="s">
        <v>20</v>
      </c>
      <c r="L16" s="14"/>
      <c r="M16" s="37"/>
      <c r="N16" s="38"/>
    </row>
    <row r="17" spans="2:14" ht="18" customHeight="1" x14ac:dyDescent="0.2">
      <c r="B17" s="6"/>
      <c r="C17" s="51" t="s">
        <v>26</v>
      </c>
      <c r="D17" s="52"/>
      <c r="E17" s="51"/>
      <c r="F17" s="52"/>
      <c r="G17" s="51" t="s">
        <v>26</v>
      </c>
      <c r="H17" s="52"/>
      <c r="I17" s="59"/>
      <c r="J17" s="60"/>
      <c r="K17" s="32"/>
      <c r="L17" s="15"/>
      <c r="M17" s="33"/>
      <c r="N17" s="34"/>
    </row>
    <row r="18" spans="2:14" ht="18" customHeight="1" x14ac:dyDescent="0.2">
      <c r="B18" s="30" t="s">
        <v>7</v>
      </c>
      <c r="C18" s="55"/>
      <c r="D18" s="56"/>
      <c r="E18" s="55" t="s">
        <v>7</v>
      </c>
      <c r="F18" s="56"/>
      <c r="G18" s="55"/>
      <c r="H18" s="56"/>
      <c r="I18" s="55" t="s">
        <v>7</v>
      </c>
      <c r="J18" s="61"/>
      <c r="K18" s="32"/>
      <c r="L18" s="15"/>
      <c r="M18" s="33"/>
      <c r="N18" s="34"/>
    </row>
    <row r="19" spans="2:14" ht="18" customHeight="1" x14ac:dyDescent="0.2">
      <c r="B19" s="6" t="s">
        <v>27</v>
      </c>
      <c r="C19" s="51"/>
      <c r="D19" s="52"/>
      <c r="E19" s="51" t="s">
        <v>27</v>
      </c>
      <c r="F19" s="52"/>
      <c r="G19" s="51"/>
      <c r="H19" s="52"/>
      <c r="I19" s="59" t="s">
        <v>27</v>
      </c>
      <c r="J19" s="60"/>
      <c r="K19" s="9"/>
      <c r="L19" s="15"/>
      <c r="M19" s="33"/>
      <c r="N19" s="34"/>
    </row>
    <row r="20" spans="2:14" ht="18" customHeight="1" x14ac:dyDescent="0.2">
      <c r="B20" s="29"/>
      <c r="C20" s="53"/>
      <c r="D20" s="54"/>
      <c r="E20" s="53"/>
      <c r="F20" s="54"/>
      <c r="G20" s="53"/>
      <c r="H20" s="54"/>
      <c r="I20" s="53"/>
      <c r="J20" s="62"/>
      <c r="K20" s="9"/>
      <c r="L20" s="15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1"/>
      <c r="L21" s="17"/>
      <c r="M21" s="35"/>
      <c r="N21" s="36"/>
    </row>
    <row r="22" spans="2:14" ht="18" customHeight="1" x14ac:dyDescent="0.2">
      <c r="B22" s="29"/>
      <c r="C22" s="53"/>
      <c r="D22" s="54"/>
      <c r="E22" s="53"/>
      <c r="F22" s="54"/>
      <c r="G22" s="53"/>
      <c r="H22" s="54"/>
      <c r="I22" s="53"/>
      <c r="J22" s="62"/>
      <c r="K22" s="31" t="s">
        <v>21</v>
      </c>
      <c r="L22" s="14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5"/>
      <c r="M23" s="33"/>
      <c r="N23" s="34"/>
    </row>
    <row r="24" spans="2:14" ht="18" customHeight="1" x14ac:dyDescent="0.2">
      <c r="B24" s="29"/>
      <c r="C24" s="53"/>
      <c r="D24" s="54"/>
      <c r="E24" s="53"/>
      <c r="F24" s="54"/>
      <c r="G24" s="53"/>
      <c r="H24" s="54"/>
      <c r="I24" s="53"/>
      <c r="J24" s="62"/>
      <c r="K24" s="32"/>
      <c r="L24" s="15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5"/>
      <c r="M25" s="33"/>
      <c r="N25" s="34"/>
    </row>
    <row r="26" spans="2:14" ht="18" customHeight="1" x14ac:dyDescent="0.2">
      <c r="B26" s="29">
        <v>0.58333333333333337</v>
      </c>
      <c r="C26" s="53"/>
      <c r="D26" s="54"/>
      <c r="E26" s="53">
        <v>0.58333333333333337</v>
      </c>
      <c r="F26" s="54"/>
      <c r="G26" s="53"/>
      <c r="H26" s="54"/>
      <c r="I26" s="53">
        <v>0.58333333333333337</v>
      </c>
      <c r="J26" s="62"/>
      <c r="K26" s="9"/>
      <c r="L26" s="15"/>
      <c r="M26" s="33"/>
      <c r="N26" s="34"/>
    </row>
    <row r="27" spans="2:14" ht="18" customHeight="1" x14ac:dyDescent="0.2">
      <c r="B27" s="6" t="s">
        <v>28</v>
      </c>
      <c r="C27" s="51"/>
      <c r="D27" s="52"/>
      <c r="E27" s="51" t="s">
        <v>28</v>
      </c>
      <c r="F27" s="52"/>
      <c r="G27" s="51"/>
      <c r="H27" s="52"/>
      <c r="I27" s="59" t="s">
        <v>28</v>
      </c>
      <c r="J27" s="60"/>
      <c r="K27" s="11"/>
      <c r="L27" s="17"/>
      <c r="M27" s="35"/>
      <c r="N27" s="36"/>
    </row>
    <row r="28" spans="2:14" ht="18" customHeight="1" x14ac:dyDescent="0.2">
      <c r="B28" s="29"/>
      <c r="C28" s="53"/>
      <c r="D28" s="54"/>
      <c r="E28" s="53"/>
      <c r="F28" s="54"/>
      <c r="G28" s="53"/>
      <c r="H28" s="54"/>
      <c r="I28" s="53"/>
      <c r="J28" s="62"/>
      <c r="K28" s="31" t="s">
        <v>22</v>
      </c>
      <c r="L28" s="14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5"/>
      <c r="M29" s="33"/>
      <c r="N29" s="34"/>
    </row>
    <row r="30" spans="2:14" ht="18" customHeight="1" x14ac:dyDescent="0.2">
      <c r="B30" s="29"/>
      <c r="C30" s="53">
        <v>0.66666666666666663</v>
      </c>
      <c r="D30" s="54"/>
      <c r="E30" s="53"/>
      <c r="F30" s="54"/>
      <c r="G30" s="53">
        <v>0.66666666666666663</v>
      </c>
      <c r="H30" s="54"/>
      <c r="I30" s="75"/>
      <c r="J30" s="76"/>
      <c r="K30" s="32"/>
      <c r="L30" s="15"/>
      <c r="M30" s="33"/>
      <c r="N30" s="34"/>
    </row>
    <row r="31" spans="2:14" ht="18" customHeight="1" x14ac:dyDescent="0.2">
      <c r="B31" s="6"/>
      <c r="C31" s="51" t="s">
        <v>29</v>
      </c>
      <c r="D31" s="52"/>
      <c r="E31" s="51"/>
      <c r="F31" s="52"/>
      <c r="G31" s="51" t="s">
        <v>29</v>
      </c>
      <c r="H31" s="52"/>
      <c r="I31" s="51"/>
      <c r="J31" s="67"/>
      <c r="K31" s="12"/>
      <c r="L31" s="15"/>
      <c r="M31" s="33"/>
      <c r="N31" s="34"/>
    </row>
    <row r="32" spans="2:14" ht="18" customHeight="1" x14ac:dyDescent="0.2">
      <c r="B32" s="29"/>
      <c r="C32" s="53"/>
      <c r="D32" s="54"/>
      <c r="E32" s="53"/>
      <c r="F32" s="54"/>
      <c r="G32" s="53"/>
      <c r="H32" s="54"/>
      <c r="I32" s="63"/>
      <c r="J32" s="64"/>
      <c r="K32" s="12"/>
      <c r="L32" s="15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3"/>
      <c r="L33" s="18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35" priority="9" stopIfTrue="1">
      <formula>DAY(C4)&gt;8</formula>
    </cfRule>
  </conditionalFormatting>
  <conditionalFormatting sqref="C8:I10">
    <cfRule type="expression" dxfId="34" priority="8" stopIfTrue="1">
      <formula>AND(DAY(C8)&gt;=1,DAY(C8)&lt;=15)</formula>
    </cfRule>
  </conditionalFormatting>
  <conditionalFormatting sqref="C4:I9">
    <cfRule type="expression" dxfId="33" priority="10">
      <formula>VLOOKUP(DAY(C4),OpgaveDage,1,FALSE)=DAY(C4)</formula>
    </cfRule>
  </conditionalFormatting>
  <conditionalFormatting sqref="B14:J14 B16:J16 B18:J18 B17 I17:J17 B20:J26 B28:J30 B32:J33">
    <cfRule type="expression" dxfId="32" priority="6">
      <formula>B14&lt;&gt;""</formula>
    </cfRule>
  </conditionalFormatting>
  <conditionalFormatting sqref="B15:J15">
    <cfRule type="expression" dxfId="31" priority="5">
      <formula>B15&lt;&gt;""</formula>
    </cfRule>
  </conditionalFormatting>
  <conditionalFormatting sqref="C17:H17">
    <cfRule type="expression" dxfId="30" priority="4">
      <formula>C17&lt;&gt;""</formula>
    </cfRule>
  </conditionalFormatting>
  <conditionalFormatting sqref="B19:J19">
    <cfRule type="expression" dxfId="29" priority="3">
      <formula>B19&lt;&gt;""</formula>
    </cfRule>
  </conditionalFormatting>
  <conditionalFormatting sqref="B27:J27">
    <cfRule type="expression" dxfId="28" priority="2">
      <formula>B27&lt;&gt;""</formula>
    </cfRule>
  </conditionalFormatting>
  <conditionalFormatting sqref="B31:J31">
    <cfRule type="expression" dxfId="27" priority="1">
      <formula>B31&lt;&gt;""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12</vt:i4>
      </vt:variant>
      <vt:variant>
        <vt:lpstr>Navngivne områder</vt:lpstr>
      </vt:variant>
      <vt:variant>
        <vt:i4>37</vt:i4>
      </vt:variant>
    </vt:vector>
  </HeadingPairs>
  <TitlesOfParts>
    <vt:vector size="49" baseType="lpstr">
      <vt:lpstr>Jan</vt:lpstr>
      <vt:lpstr>Feb</vt:lpstr>
      <vt:lpstr>Mar</vt:lpstr>
      <vt:lpstr>Apr</vt:lpstr>
      <vt:lpstr>Maj</vt:lpstr>
      <vt:lpstr>Jun</vt:lpstr>
      <vt:lpstr>Jul</vt:lpstr>
      <vt:lpstr>Aug</vt:lpstr>
      <vt:lpstr>Sep</vt:lpstr>
      <vt:lpstr>Okt</vt:lpstr>
      <vt:lpstr>Nov</vt:lpstr>
      <vt:lpstr>Dec</vt:lpstr>
      <vt:lpstr>Kalenderår</vt:lpstr>
      <vt:lpstr>Apr!OpgaveDage</vt:lpstr>
      <vt:lpstr>Aug!OpgaveDage</vt:lpstr>
      <vt:lpstr>Dec!OpgaveDage</vt:lpstr>
      <vt:lpstr>Feb!OpgaveDage</vt:lpstr>
      <vt:lpstr>Jul!OpgaveDage</vt:lpstr>
      <vt:lpstr>Jun!OpgaveDage</vt:lpstr>
      <vt:lpstr>Maj!OpgaveDage</vt:lpstr>
      <vt:lpstr>Mar!OpgaveDage</vt:lpstr>
      <vt:lpstr>Nov!OpgaveDage</vt:lpstr>
      <vt:lpstr>Okt!OpgaveDage</vt:lpstr>
      <vt:lpstr>Sep!OpgaveDage</vt:lpstr>
      <vt:lpstr>OpgaveDage</vt:lpstr>
      <vt:lpstr>Apr!Udskriftsområde</vt:lpstr>
      <vt:lpstr>Aug!Udskriftsområde</vt:lpstr>
      <vt:lpstr>Dec!Udskriftsområde</vt:lpstr>
      <vt:lpstr>Feb!Udskriftsområde</vt:lpstr>
      <vt:lpstr>Jan!Udskriftsområde</vt:lpstr>
      <vt:lpstr>Jul!Udskriftsområde</vt:lpstr>
      <vt:lpstr>Jun!Udskriftsområde</vt:lpstr>
      <vt:lpstr>Maj!Udskriftsområde</vt:lpstr>
      <vt:lpstr>Mar!Udskriftsområde</vt:lpstr>
      <vt:lpstr>Nov!Udskriftsområde</vt:lpstr>
      <vt:lpstr>Okt!Udskriftsområde</vt:lpstr>
      <vt:lpstr>Sep!Udskriftsområde</vt:lpstr>
      <vt:lpstr>Apr!VigtigeDatoerTabel</vt:lpstr>
      <vt:lpstr>Aug!VigtigeDatoerTabel</vt:lpstr>
      <vt:lpstr>Dec!VigtigeDatoerTabel</vt:lpstr>
      <vt:lpstr>Feb!VigtigeDatoerTabel</vt:lpstr>
      <vt:lpstr>Jul!VigtigeDatoerTabel</vt:lpstr>
      <vt:lpstr>Jun!VigtigeDatoerTabel</vt:lpstr>
      <vt:lpstr>Maj!VigtigeDatoerTabel</vt:lpstr>
      <vt:lpstr>Mar!VigtigeDatoerTabel</vt:lpstr>
      <vt:lpstr>Nov!VigtigeDatoerTabel</vt:lpstr>
      <vt:lpstr>Okt!VigtigeDatoerTabel</vt:lpstr>
      <vt:lpstr>Sep!VigtigeDatoerTabel</vt:lpstr>
      <vt:lpstr>VigtigeDatoerTabel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2014-01-03T04:35:02Z</dcterms:created>
  <dcterms:modified xsi:type="dcterms:W3CDTF">2015-02-06T14:13:36Z</dcterms:modified>
</cp:coreProperties>
</file>