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sherryl\Desktop\Task\10\cs-CZ\target\"/>
    </mc:Choice>
  </mc:AlternateContent>
  <bookViews>
    <workbookView xWindow="-120" yWindow="-120" windowWidth="24240" windowHeight="17640" xr2:uid="{00000000-000D-0000-FFFF-FFFF00000000}"/>
  </bookViews>
  <sheets>
    <sheet name="Začátek" sheetId="5" r:id="rId1"/>
    <sheet name="Rodinný kalendář" sheetId="4" r:id="rId2"/>
  </sheets>
  <definedNames>
    <definedName name="DůležitáData">'Rodinný kalendář'!$D$6:$G$20</definedName>
    <definedName name="Ne1Bře">DATE(RokKalendáře,3,1)-WEEKDAY(DATE(RokKalendáře,3,1))+1</definedName>
    <definedName name="Ne1Čer">DATE(RokKalendáře,6,1)-WEEKDAY(DATE(RokKalendáře,6,1))+1</definedName>
    <definedName name="Ne1Čvc">DATE(RokKalendáře,7,1)-WEEKDAY(DATE(RokKalendáře,7,1))+1</definedName>
    <definedName name="Ne1Dub">DATE(RokKalendáře,4,1)-WEEKDAY(DATE(RokKalendáře,4,1))+1</definedName>
    <definedName name="Ne1Kvě">DATE(RokKalendáře,5,1)-WEEKDAY(DATE(RokKalendáře,5,1))+1</definedName>
    <definedName name="Ne1Led">DATE(RokKalendáře,1,1)-WEEKDAY(DATE(RokKalendáře,1,1))+1</definedName>
    <definedName name="Ne1Lis">DATE(RokKalendáře,11,1)-WEEKDAY(DATE(RokKalendáře,11,1))+1</definedName>
    <definedName name="Ne1Pro">DATE(RokKalendáře,12,1)-WEEKDAY(DATE(RokKalendáře,12,1))+1</definedName>
    <definedName name="Ne1Říj">DATE(RokKalendáře,10,1)-WEEKDAY(DATE(RokKalendáře,10,1))+1</definedName>
    <definedName name="Ne1Srp">DATE(RokKalendáře,8,1)-WEEKDAY(DATE(RokKalendáře,8,1))+1</definedName>
    <definedName name="Ne1Úno">DATE(RokKalendáře,2,1)-WEEKDAY(DATE(RokKalendáře,2,1))+1</definedName>
    <definedName name="Ne1Zář">DATE(RokKalendáře,9,1)-WEEKDAY(DATE(RokKalendáře,9,1))+1</definedName>
    <definedName name="_xlnm.Print_Area" localSheetId="1">'Rodinný kalendář'!$B$1:$AK$50</definedName>
    <definedName name="RokKalendáře">'Rodinný kalendář'!$AE$3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" i="4" l="1"/>
  <c r="D7" i="4" l="1"/>
  <c r="D6" i="4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<sst xmlns="http://schemas.openxmlformats.org/spreadsheetml/2006/main" count="112" uniqueCount="35">
  <si>
    <t>INFORMACE O TÉTO ŠABLONĚ</t>
  </si>
  <si>
    <t>Udržujte si přehled o důležitých datech a zadávejte poznámky přímo v tomto rodinném kalendáři.</t>
  </si>
  <si>
    <t>Upravte název kalendáře a vyberte rok.</t>
  </si>
  <si>
    <t>Jednotlivé měsíce se v kalendáři aktualizují automaticky.</t>
  </si>
  <si>
    <t>Poznámka: </t>
  </si>
  <si>
    <t>Další informace o tabulkách můžete získat tak, že v tabulce stisknete klávesu SHIFT a potom F10, vyberete možnost TABULKA a pak vyberete ALTERNATIVNÍ TEXT.</t>
  </si>
  <si>
    <t>V tomto listu můžete vytvořit rodinný kalendář na libovolný rok. V buňkách v tomto sloupci jsou užitečné pokyny k tomu, jak tento list používat. Další pokyny jsou v buňce A3.</t>
  </si>
  <si>
    <t>V buňce D5 je popisek Důležitá data a v buňce U5 je popisek Poznámky. Do buněk D6 až D20 zadejte důležitá data, do buněk H6 až H20 zvláštní příležitosti nebo události a do buněk U6 až U20 poznámky. Další pokyny najdete v buňce A23.</t>
  </si>
  <si>
    <t>Roční kalendář je v buňkách C24 až AJ49, lednový kalendář v buňkách C25 až I31, únorový kalendář v buňkách L25 až R31, březnový kalendář v buňkách U25 až AA31 a dubnový kalendář v buňkách AD25 až AJ31.</t>
  </si>
  <si>
    <t>V tomto řádku jsou názvy měsíců. Popisek Leden je v buňce C24, popisek Únor v buňce L24, Březen v U24 a Duben v AD24.</t>
  </si>
  <si>
    <t>V tomto řádku jsou názvy dnů v týdnu. Názvy dnů v týdnu v lednu jsou v buňkách C25 až I25, v únoru v buňkách L25 až R25, v březnu v buňkách U25 až AA25 a v dubnu v buňkách AD25 až AJ25.</t>
  </si>
  <si>
    <t>Data se v tomto řádku aktualizují automaticky. Lednová data jsou v buňkách C26 až I31 vpravo, únorová data v buňkách L26 až R31, březnová data v buňkách U26 až AA31 a dubnová v buňkách AD26 až AJ31. Další pokyn je v buňce A32.</t>
  </si>
  <si>
    <t>Květnový kalendář je v buňkách C34 až I40, červnový kalendář v buňkách L34 až R40, červencový kalendář v buňkách U34 až AA40 a srpnový kalendář v buňkách AD34 až AJ40.</t>
  </si>
  <si>
    <t>V tomto řádku jsou názvy měsíců. Popisek Květen je v buňce C33, popisek Červen v buňce L33, Červenec v U33 a Srpen v AD33.</t>
  </si>
  <si>
    <t>V tomto řádku jsou názvy dnů v týdnu. Názvy dnů v týdnu v květnu jsou v buňkách C34 až I34, v červnu v buňkách L34 až R34, v červenci v buňkách U34 až AA34 a v srpnu v buňkách AD34 až AJ34.</t>
  </si>
  <si>
    <t>Data se v tomto řádku aktualizují automaticky. Květnová data jsou v buňkách C35 až I40 vpravo, červnová data v buňkách L35 až R40, červencová data v buňkách U35 až AA35 a srpnová data v buňkách AD35 až AJ40. Další pokyn je v buňce A41.</t>
  </si>
  <si>
    <t>Zářijový kalendář je v buňkách C43 až I49, říjnový kalendář v buňkách L43 až R49, listopadový kalendář v buňkách U43 až AA49 a prosincový kalendář v buňkách AD43 až AJ49.</t>
  </si>
  <si>
    <t>V tomto řádku jsou názvy měsíců. Popisek Září je v buňce C42, popisek Říjen v buňce L42, Listopad v buňce U42 a Prosinec v buňce AD42.</t>
  </si>
  <si>
    <t>V tomto řádku jsou názvy dnů v týdnu. Názvy dnů v týdnu v září jsou v buňkách C43 až I43, v říjnu v buňkách L43 až R43, v listopadu v buňkách U43 až AA43 a v prosinci v buňkách AD43 až AJ43.</t>
  </si>
  <si>
    <t>Data se v tomto řádku aktualizují automaticky. Zářijová data jsou v buňkách C44 až I49 vpravo, říjnová data jsou v buňkách L44 až R49, listopadová v buňkách U44 až AA49 a prosincová v buňkách AD44 až AJ49.</t>
  </si>
  <si>
    <t>Po</t>
  </si>
  <si>
    <t>Kalendář rodiny Lukešovy</t>
  </si>
  <si>
    <t>Důležitá data</t>
  </si>
  <si>
    <t>Út</t>
  </si>
  <si>
    <t>St</t>
  </si>
  <si>
    <t>Čt</t>
  </si>
  <si>
    <t>Pá</t>
  </si>
  <si>
    <t>Nový rok</t>
  </si>
  <si>
    <t>Jakubovy narozeniny</t>
  </si>
  <si>
    <t>So</t>
  </si>
  <si>
    <t>Ne</t>
  </si>
  <si>
    <t>Poznámky</t>
  </si>
  <si>
    <t>Tip: Pomocí číselníku v této buňce můžete změnit kalendářní rok.</t>
  </si>
  <si>
    <t>Další pokyny jsou k dispozici na listu RODINNÝ KALENDÁŘ ve sloupci A. Tento text je záměrně skrytý. Pokud ho chcete odebrat, vyberte sloupec A a stiskněte klávesu ODSTRANIT. Pokud tento text chcete zobrazit, vyberte sloupec A a změňte barvu písma.</t>
  </si>
  <si>
    <t>V buňce D3 upravte název kalendáře a v buňce AE3 zadejte rok. V buňce AL3 je tip. Další pokyn je v buňce A5.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</si>
</sst>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\ &quot;Kč&quot;_-;\-* #,##0\ &quot;Kč&quot;_-;_-* &quot;-&quot;\ &quot;Kč&quot;_-;_-@_-"/>
    <numFmt numFmtId="165" formatCode="_-* #,##0.00\ &quot;Kč&quot;_-;\-* #,##0.00\ &quot;Kč&quot;_-;_-* &quot;-&quot;??\ &quot;Kč&quot;_-;_-@_-"/>
    <numFmt numFmtId="166" formatCode="d"/>
    <numFmt numFmtId="167" formatCode="mmmm"/>
  </numFmts>
  <fonts count="4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.5"/>
      <color theme="1" tint="0.3499862666707357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1" fillId="0" borderId="0"/>
    <xf numFmtId="0" fontId="23" fillId="0" borderId="4" applyNumberFormat="0" applyFill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7" applyNumberFormat="0" applyAlignment="0" applyProtection="0"/>
    <xf numFmtId="0" fontId="36" fillId="8" borderId="8" applyNumberFormat="0" applyAlignment="0" applyProtection="0"/>
    <xf numFmtId="0" fontId="37" fillId="8" borderId="7" applyNumberFormat="0" applyAlignment="0" applyProtection="0"/>
    <xf numFmtId="0" fontId="38" fillId="0" borderId="9" applyNumberFormat="0" applyFill="0" applyAlignment="0" applyProtection="0"/>
    <xf numFmtId="0" fontId="39" fillId="9" borderId="10" applyNumberFormat="0" applyAlignment="0" applyProtection="0"/>
    <xf numFmtId="0" fontId="40" fillId="0" borderId="0" applyNumberFormat="0" applyFill="0" applyBorder="0" applyAlignment="0" applyProtection="0"/>
    <xf numFmtId="0" fontId="28" fillId="10" borderId="11" applyNumberFormat="0" applyFont="0" applyAlignment="0" applyProtection="0"/>
    <xf numFmtId="0" fontId="41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2" borderId="0" xfId="0" applyFont="1" applyFill="1" applyAlignment="1">
      <alignment horizontal="left" indent="1"/>
    </xf>
    <xf numFmtId="0" fontId="10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4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0" fillId="0" borderId="0" xfId="0" applyFill="1"/>
    <xf numFmtId="0" fontId="14" fillId="2" borderId="0" xfId="0" applyFont="1" applyFill="1"/>
    <xf numFmtId="0" fontId="7" fillId="2" borderId="0" xfId="0" applyFont="1" applyFill="1" applyAlignment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 applyAlignment="1">
      <alignment horizontal="left" indent="1"/>
    </xf>
    <xf numFmtId="0" fontId="19" fillId="2" borderId="0" xfId="0" applyFont="1" applyFill="1" applyAlignment="1">
      <alignment horizontal="left" indent="1"/>
    </xf>
    <xf numFmtId="0" fontId="19" fillId="2" borderId="0" xfId="0" applyFont="1" applyFill="1"/>
    <xf numFmtId="0" fontId="20" fillId="2" borderId="0" xfId="0" applyFont="1" applyFill="1"/>
    <xf numFmtId="0" fontId="16" fillId="0" borderId="0" xfId="0" applyFont="1"/>
    <xf numFmtId="0" fontId="22" fillId="0" borderId="0" xfId="0" applyFont="1" applyFill="1" applyBorder="1" applyAlignment="1">
      <alignment horizontal="center"/>
    </xf>
    <xf numFmtId="0" fontId="24" fillId="3" borderId="4" xfId="2" applyFont="1" applyFill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7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27" fillId="0" borderId="0" xfId="0" applyFont="1" applyAlignment="1">
      <alignment wrapText="1"/>
    </xf>
    <xf numFmtId="0" fontId="8" fillId="0" borderId="3" xfId="0" applyNumberFormat="1" applyFont="1" applyFill="1" applyBorder="1" applyAlignment="1"/>
    <xf numFmtId="0" fontId="8" fillId="0" borderId="0" xfId="0" applyNumberFormat="1" applyFont="1" applyFill="1" applyBorder="1" applyAlignment="1"/>
    <xf numFmtId="0" fontId="13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3" xfId="0" applyNumberFormat="1" applyFont="1" applyBorder="1"/>
    <xf numFmtId="0" fontId="0" fillId="0" borderId="0" xfId="0" applyNumberFormat="1" applyFont="1"/>
    <xf numFmtId="0" fontId="0" fillId="0" borderId="0" xfId="0" applyNumberFormat="1"/>
    <xf numFmtId="0" fontId="0" fillId="0" borderId="3" xfId="0" applyNumberFormat="1" applyBorder="1"/>
    <xf numFmtId="0" fontId="9" fillId="0" borderId="0" xfId="0" applyNumberFormat="1" applyFont="1"/>
    <xf numFmtId="0" fontId="1" fillId="0" borderId="0" xfId="0" applyFont="1" applyAlignment="1">
      <alignment vertical="center" wrapText="1"/>
    </xf>
    <xf numFmtId="166" fontId="0" fillId="0" borderId="0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left"/>
    </xf>
    <xf numFmtId="0" fontId="7" fillId="0" borderId="0" xfId="0" applyFont="1" applyFill="1"/>
    <xf numFmtId="0" fontId="7" fillId="2" borderId="0" xfId="0" applyFont="1" applyFill="1"/>
    <xf numFmtId="0" fontId="7" fillId="2" borderId="0" xfId="0" applyFont="1" applyFill="1" applyAlignment="1"/>
    <xf numFmtId="14" fontId="7" fillId="2" borderId="0" xfId="0" applyNumberFormat="1" applyFont="1" applyFill="1" applyAlignment="1">
      <alignment horizontal="right" indent="1"/>
    </xf>
    <xf numFmtId="0" fontId="10" fillId="2" borderId="2" xfId="0" applyFont="1" applyFill="1" applyBorder="1"/>
    <xf numFmtId="0" fontId="16" fillId="0" borderId="0" xfId="0" applyFont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right" wrapText="1"/>
    </xf>
    <xf numFmtId="0" fontId="10" fillId="2" borderId="1" xfId="0" applyFont="1" applyFill="1" applyBorder="1"/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2" builtinId="53" customBuiltin="1"/>
    <cellStyle name="Good" xfId="12" builtinId="26" customBuiltin="1"/>
    <cellStyle name="Heading 1" xfId="9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rmální 2" xfId="1" xr:uid="{00000000-0005-0000-0000-000001000000}"/>
    <cellStyle name="Note" xfId="21" builtinId="10" customBuiltin="1"/>
    <cellStyle name="Output" xfId="16" builtinId="21" customBuiltin="1"/>
    <cellStyle name="Percent" xfId="7" builtinId="5" customBuiltin="1"/>
    <cellStyle name="Title" xfId="8" builtinId="15" customBuiltin="1"/>
    <cellStyle name="Total" xfId="23" builtinId="25" customBuiltin="1"/>
    <cellStyle name="Warning Text" xfId="20" builtinId="11" customBuiltin="1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AE$3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Rám tabule" descr="Rám dřevěné tabul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37</xdr:col>
      <xdr:colOff>9527</xdr:colOff>
      <xdr:row>2</xdr:row>
      <xdr:rowOff>104776</xdr:rowOff>
    </xdr:from>
    <xdr:to>
      <xdr:col>40</xdr:col>
      <xdr:colOff>1</xdr:colOff>
      <xdr:row>3</xdr:row>
      <xdr:rowOff>0</xdr:rowOff>
    </xdr:to>
    <xdr:sp macro="" textlink="">
      <xdr:nvSpPr>
        <xdr:cNvPr id="4" name="Pokyny" descr="Tip: Pomocí číselníku můžete změnit kalendářní rok.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667627" y="552451"/>
          <a:ext cx="1800224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cs" sz="1000" b="0" i="1">
              <a:solidFill>
                <a:schemeClr val="tx1">
                  <a:lumMod val="75000"/>
                  <a:lumOff val="25000"/>
                </a:schemeClr>
              </a:solidFill>
              <a:latin typeface="Calibri" panose="020F0502020204030204" pitchFamily="34" charset="0"/>
            </a:rPr>
            <a:t>Pomocí číselníku můžete změnit kalendářní rok.</a:t>
          </a:r>
        </a:p>
      </xdr:txBody>
    </xdr:sp>
    <xdr:clientData fPrintsWithSheet="0"/>
  </xdr:twoCellAnchor>
  <xdr:twoCellAnchor editAs="oneCell"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Oddělovač tabule" descr="Oddělovač tabul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</xdr:row>
          <xdr:rowOff>85725</xdr:rowOff>
        </xdr:from>
        <xdr:to>
          <xdr:col>35</xdr:col>
          <xdr:colOff>152400</xdr:colOff>
          <xdr:row>2</xdr:row>
          <xdr:rowOff>390525</xdr:rowOff>
        </xdr:to>
        <xdr:sp macro="" textlink="">
          <xdr:nvSpPr>
            <xdr:cNvPr id="1025" name="Číselník" descr="Kalendářní rok můžete změnit tlačítkem na číselníku nebo ho můžete změnit v buňce AE3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084D8F-5E57-4031-AB3B-95BABC13017E}" name="Leden" displayName="Leden" ref="C25:I31" totalsRowShown="0" headerRowDxfId="107" dataDxfId="106">
  <autoFilter ref="C25:I31" xr:uid="{1ADE8804-B0AD-4D11-994B-A0B41F6BA22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197DA7-A53D-40E2-83EB-11047B8FB9A1}" name="Po" dataDxfId="105"/>
    <tableColumn id="2" xr3:uid="{D28A6F25-5E4C-4F17-88ED-16968913DBE9}" name="Út" dataDxfId="104"/>
    <tableColumn id="3" xr3:uid="{BB2355F6-BB28-486C-8D20-834DCACD4F3F}" name="St" dataDxfId="103"/>
    <tableColumn id="4" xr3:uid="{50E92CC5-40CA-4805-9BB5-CE0DB8786693}" name="Čt" dataDxfId="102"/>
    <tableColumn id="5" xr3:uid="{E4BB72AD-4D9E-41F4-90A0-D41C1000188D}" name="Pá" dataDxfId="101"/>
    <tableColumn id="6" xr3:uid="{2B371CF3-31DE-453E-9B23-86C0A18DD970}" name="So" dataDxfId="100"/>
    <tableColumn id="7" xr3:uid="{66ED2259-FB70-4D39-BDC5-24C72D11CFAF}" name="Ne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na leden. Dny v týdnu se počítají automaticky podle roku zadaného v buňce AE3 v této tabulce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09AB6E0-CD0E-4829-AEC6-6555470351F2}" name="Květen" displayName="Květen" ref="C34:I40" totalsRowShown="0" headerRowDxfId="26" dataDxfId="25">
  <autoFilter ref="C34:I40" xr:uid="{DD84EE09-28A1-495B-AAF7-8A0DC4C4308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B5F498-A896-471E-B854-83E1F5569372}" name="Po" dataDxfId="24"/>
    <tableColumn id="2" xr3:uid="{BA329B39-24F6-49D6-B18B-B0D068298D8D}" name="Út" dataDxfId="23"/>
    <tableColumn id="3" xr3:uid="{C799F152-9858-4AF4-A0FF-8FCA81C8D628}" name="St" dataDxfId="22"/>
    <tableColumn id="4" xr3:uid="{E983E442-3CDE-46FF-8F09-DAE022ADCC87}" name="Čt" dataDxfId="21"/>
    <tableColumn id="5" xr3:uid="{8149405D-CCBC-4B4B-85BE-1A4FF328E013}" name="Pá" dataDxfId="20"/>
    <tableColumn id="6" xr3:uid="{9C43832F-4334-4B42-B414-EFF19262FEE6}" name="So" dataDxfId="19"/>
    <tableColumn id="7" xr3:uid="{9AF096CA-BE9E-4E1D-838B-C9706D1EF82D}" name="Ne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na květen. Dny v týdnu se počítají automaticky podle roku zadaného v buňce AE3 v této tabulce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5C1C30F-F899-4F2F-ACC1-9E735A2D638E}" name="Červen" displayName="Červen" ref="L34:R40" totalsRowShown="0" headerRowDxfId="17" dataDxfId="16">
  <autoFilter ref="L34:R40" xr:uid="{06E6625D-5B44-4419-B810-7FC21D452B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503938C-7986-49FF-9501-DDC17B342FAA}" name="Po" dataDxfId="15"/>
    <tableColumn id="2" xr3:uid="{D09E41EB-4C62-4845-BE36-E7C6C3889C0C}" name="Út" dataDxfId="14"/>
    <tableColumn id="3" xr3:uid="{7E15A4CB-F43F-4EBE-BA7C-AF20ECC6CFCF}" name="St" dataDxfId="13"/>
    <tableColumn id="4" xr3:uid="{FB6E5EE0-423F-4A55-9060-8B0B30DC7B4C}" name="Čt" dataDxfId="12"/>
    <tableColumn id="5" xr3:uid="{C7F55345-04C4-4F39-ADF6-BE38EF870C9A}" name="Pá" dataDxfId="11"/>
    <tableColumn id="6" xr3:uid="{89E766D5-3601-41EB-A409-D3C988BFEBDC}" name="So" dataDxfId="10"/>
    <tableColumn id="7" xr3:uid="{B37A6A8B-9721-42FA-8CA0-0914B15D5A98}" name="Ne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na červen. Dny v týdnu se počítají automaticky podle roku zadaného v buňce AE3 v této tabulce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EF8228F-878A-4314-8FAB-11CFA7BBDCCE}" name="Červenec" displayName="Červenec" ref="U34:AA40" totalsRowShown="0" headerRowDxfId="8" dataDxfId="7">
  <autoFilter ref="U34:AA40" xr:uid="{9393EAC2-153E-44A1-8C75-70195AD060C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04AB094-7893-4603-B8E4-15FF6D7C848C}" name="Po" dataDxfId="6"/>
    <tableColumn id="2" xr3:uid="{84C699AB-6496-441A-B237-2EB283CEFEAE}" name="Út" dataDxfId="5"/>
    <tableColumn id="3" xr3:uid="{F183BF59-9DC2-4398-81DB-F0438980A67D}" name="St" dataDxfId="4"/>
    <tableColumn id="4" xr3:uid="{57B4D1AE-A132-42AB-B0DA-DFFC07D5E12F}" name="Čt" dataDxfId="3"/>
    <tableColumn id="5" xr3:uid="{99F0B57B-81B2-4F58-814B-9AF63612A63B}" name="Pá" dataDxfId="2"/>
    <tableColumn id="6" xr3:uid="{85194B0F-B914-42E3-9849-D706E0596F18}" name="So" dataDxfId="1"/>
    <tableColumn id="7" xr3:uid="{D5875EA9-3BE5-41A0-8B63-BDE1DE894F6A}" name="Ne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na červenec. Dny v týdnu se počítají automaticky podle roku zadaného v buňce AE3 v této tabulc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1B8811-C173-43D0-81E6-C30611F9E48C}" name="Únor" displayName="Únor" ref="L25:R31" totalsRowShown="0" headerRowDxfId="98" dataDxfId="97">
  <autoFilter ref="L25:R31" xr:uid="{09FFEE6B-010F-48D3-B7C4-7E92ACC16B4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ED18BE3-3587-499C-9504-874D29C247A0}" name="Po" dataDxfId="96"/>
    <tableColumn id="2" xr3:uid="{A205A52F-8E37-498A-A5CC-6FD0732AF131}" name="Út" dataDxfId="95"/>
    <tableColumn id="3" xr3:uid="{4F8A4A4F-781E-4A2F-9EF3-0FF67EE2444C}" name="St" dataDxfId="94"/>
    <tableColumn id="4" xr3:uid="{CDAFA5B3-2779-483C-99FC-75278781B8FD}" name="Čt" dataDxfId="93"/>
    <tableColumn id="5" xr3:uid="{C5B99975-7BB5-4A5D-8222-AC94AE515D3A}" name="Pá" dataDxfId="92"/>
    <tableColumn id="6" xr3:uid="{5AF46251-0E40-4F5B-94D6-BDC11EC73FDB}" name="So" dataDxfId="91"/>
    <tableColumn id="7" xr3:uid="{658ADFA5-E083-46E9-B4B2-6F07BA9C7140}" name="Ne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na únor. Dny v týdnu se počítají automaticky podle roku zadaného v buňce AE3 v této tabulc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D92657-C237-4754-BCC7-2602796838F9}" name="Březen" displayName="Březen" ref="U25:AA31" totalsRowShown="0" headerRowDxfId="89" dataDxfId="88">
  <autoFilter ref="U25:AA31" xr:uid="{B456D373-3115-41EB-A162-40F83720CC9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4069E1A-70FC-4342-918B-8E6B20A93356}" name="Po" dataDxfId="87"/>
    <tableColumn id="2" xr3:uid="{1976C28A-BF43-4F82-B3A1-179B4B4AF804}" name="Út" dataDxfId="86"/>
    <tableColumn id="3" xr3:uid="{DFDBD758-6531-462B-9AE8-3686E98FFCA9}" name="St" dataDxfId="85"/>
    <tableColumn id="4" xr3:uid="{3AA99097-3DF7-4398-A496-FF080F2CE97E}" name="Čt" dataDxfId="84"/>
    <tableColumn id="5" xr3:uid="{0E76D483-C95C-4DD9-9CAE-A97C8544598B}" name="Pá" dataDxfId="83"/>
    <tableColumn id="6" xr3:uid="{7D921C56-69EB-4ABA-9B90-EA9F831DCC34}" name="So" dataDxfId="82"/>
    <tableColumn id="7" xr3:uid="{03450A21-A6C8-4854-B72B-E981E5FC9DC9}" name="Ne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na březen. Dny v týdnu se počítají automaticky podle roku zadaného v buňce AE3 v této tabulce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E087589-C009-49EB-AFDC-257881EDD147}" name="Duben" displayName="Duben" ref="AD25:AJ31" totalsRowShown="0" headerRowDxfId="80" dataDxfId="79">
  <autoFilter ref="AD25:AJ31" xr:uid="{8BFC6485-6E26-4A91-8066-650E029D3FF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EEF355-B82A-4D6F-B450-C6D068838F44}" name="Po" dataDxfId="78"/>
    <tableColumn id="2" xr3:uid="{0221955E-CD3B-479A-BF28-D0EB57D80A7C}" name="Út" dataDxfId="77"/>
    <tableColumn id="3" xr3:uid="{273B5508-3FFE-4EFC-8827-E1E9731A6D7E}" name="St" dataDxfId="76"/>
    <tableColumn id="4" xr3:uid="{7F787E39-16E5-49DD-AA24-872C926B911A}" name="Čt" dataDxfId="75"/>
    <tableColumn id="5" xr3:uid="{8AAAF603-B5C0-498D-9D55-5F9E7E387865}" name="Pá" dataDxfId="74"/>
    <tableColumn id="6" xr3:uid="{79472EDD-BC97-4C5A-A27E-F1390E092491}" name="So" dataDxfId="73"/>
    <tableColumn id="7" xr3:uid="{85A34A75-8BEB-40C8-9A1F-62A4F246DB22}" name="Ne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na duben. Dny v týdnu se počítají automaticky podle roku zadaného v buňce AE3 v této tabulc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EBF5564-BB5A-4618-B4DB-982512EAFB11}" name="Srpen" displayName="Srpen" ref="AD34:AJ40" totalsRowShown="0" headerRowDxfId="71" dataDxfId="70">
  <autoFilter ref="AD34:AJ40" xr:uid="{5719ADA1-9BC9-4D98-B98F-4D6D202456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67B3F8E-C14A-47E8-8002-E8A7D40C3E27}" name="Po" dataDxfId="69"/>
    <tableColumn id="2" xr3:uid="{01DDCFDC-70E0-489A-AAAE-CD22902F985B}" name="Út" dataDxfId="68"/>
    <tableColumn id="3" xr3:uid="{6CBD51C1-76AC-4F6D-BE33-4C9402A220A5}" name="St" dataDxfId="67"/>
    <tableColumn id="4" xr3:uid="{EC58AF9D-EB3F-4E1D-8E68-2B1EF525DBAB}" name="Čt" dataDxfId="66"/>
    <tableColumn id="5" xr3:uid="{C367D5EF-1033-48E8-A2C7-4068935677BF}" name="Pá" dataDxfId="65"/>
    <tableColumn id="6" xr3:uid="{219986D6-6C09-4E7C-B268-689E81800E13}" name="So" dataDxfId="64"/>
    <tableColumn id="7" xr3:uid="{B02FE3BD-CE1D-4250-99CE-0DB5D42E3E4D}" name="Ne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na srpen. Dny v týdnu se počítají automaticky podle roku zadaného v buňce AE3 v této tabulce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FF5790-842E-4103-BC29-B54ACD26D025}" name="Prosinec" displayName="Prosinec" ref="AD43:AJ49" totalsRowShown="0" headerRowDxfId="62" dataDxfId="61">
  <autoFilter ref="AD43:AJ49" xr:uid="{CEC5793F-6ABD-47F5-97E3-AA946FC68DC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7CB8969-BEA3-4624-979E-E1374078F18D}" name="Po" dataDxfId="60"/>
    <tableColumn id="2" xr3:uid="{DCB993F9-E5E9-4213-9C84-46F6E62105D7}" name="Út" dataDxfId="59"/>
    <tableColumn id="3" xr3:uid="{ED7C5EA4-3B5B-404A-99A0-AD0C523D02E8}" name="St" dataDxfId="58"/>
    <tableColumn id="4" xr3:uid="{35FA642E-79F1-4B64-ACDB-3AB30A01BB43}" name="Čt" dataDxfId="57"/>
    <tableColumn id="5" xr3:uid="{9119F847-2CFB-4518-954A-408F67803C6D}" name="Pá" dataDxfId="56"/>
    <tableColumn id="6" xr3:uid="{CFC3B963-A43F-4B9E-A411-25CF38B5B8FB}" name="So" dataDxfId="55"/>
    <tableColumn id="7" xr3:uid="{6773B7AD-6C98-4B11-ACCC-958503B6DC12}" name="Ne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na prosinec. Dny v týdnu se počítají automaticky podle roku zadaného v buňce AE3 v této tabulce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ECAB4FC-D90C-41D6-90D6-EFB979E90C77}" name="Listopad" displayName="Listopad" ref="U43:AA49" totalsRowShown="0" headerRowDxfId="53" dataDxfId="52">
  <autoFilter ref="U43:AA49" xr:uid="{D2B6EA8E-438C-46C4-92D4-1A158BB89EA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3919A4-2344-4CC2-99FA-245A55B3424B}" name="Po" dataDxfId="51"/>
    <tableColumn id="2" xr3:uid="{AA21C15B-CFEE-4282-AC89-A2518C48FE57}" name="Út" dataDxfId="50"/>
    <tableColumn id="3" xr3:uid="{50DEF649-6E83-425F-B0F7-9FB8FE7EBB63}" name="St" dataDxfId="49"/>
    <tableColumn id="4" xr3:uid="{2FE2FBD4-4B90-4F5C-A8AE-A8CEA2DD5861}" name="Čt" dataDxfId="48"/>
    <tableColumn id="5" xr3:uid="{B65AFF60-D315-4718-AF6E-4F26244C19DF}" name="Pá" dataDxfId="47"/>
    <tableColumn id="6" xr3:uid="{E8D0DE96-B2CD-47F6-94B9-529A472368BA}" name="So" dataDxfId="46"/>
    <tableColumn id="7" xr3:uid="{61C86030-ECA7-41C7-A52D-7CF24741A743}" name="Ne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na listopad. Dny v týdnu se počítají automaticky podle roku zadaného v buňce AE3 v této tabulce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9240A08-42CE-49FA-A2A4-AF37C3C91937}" name="Říjen" displayName="Říjen" ref="L43:R49" totalsRowShown="0" headerRowDxfId="44" dataDxfId="43">
  <autoFilter ref="L43:R49" xr:uid="{190FC243-D4ED-4031-BD65-2508A4CC43A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959FE53-B080-4347-851C-F1E6DF868D1E}" name="Po" dataDxfId="42"/>
    <tableColumn id="2" xr3:uid="{58818C2A-A8BB-4BEE-A471-DDCB2289F220}" name="Út" dataDxfId="41"/>
    <tableColumn id="3" xr3:uid="{38A99EE2-D9B0-471F-B412-28E7BA093F28}" name="St" dataDxfId="40"/>
    <tableColumn id="4" xr3:uid="{E8BBD341-C110-4365-902F-BF128A3818B7}" name="Čt" dataDxfId="39"/>
    <tableColumn id="5" xr3:uid="{AECC25E7-B42C-47DE-AC99-4E3039CC4F71}" name="Pá" dataDxfId="38"/>
    <tableColumn id="6" xr3:uid="{2A622645-E1EE-49EF-9B76-A5C8939E6835}" name="So" dataDxfId="37"/>
    <tableColumn id="7" xr3:uid="{DEF76847-D46C-406F-9AAB-FEC40A323551}" name="Ne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na říjen. Dny v týdnu se počítají automaticky podle roku zadaného v buňce AE3 v této tabulce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2D64E12-997B-4486-8A95-99D21B562D39}" name="Září" displayName="Září" ref="C43:I49" totalsRowShown="0" headerRowDxfId="35" dataDxfId="34">
  <autoFilter ref="C43:I49" xr:uid="{3F5C9226-4DD1-491C-AC86-DA42A4632E5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5BBC02D-CAFF-4F4E-8247-8C60842E4E75}" name="Po" dataDxfId="33"/>
    <tableColumn id="2" xr3:uid="{5C3756F3-44FD-4E9C-98D1-C798168ABA12}" name="Út" dataDxfId="32"/>
    <tableColumn id="3" xr3:uid="{D23E7CE4-63A9-46CF-A6CA-8AB7B4338DE2}" name="St" dataDxfId="31"/>
    <tableColumn id="4" xr3:uid="{C18943D6-8975-4A03-9EFA-1A748AC4727A}" name="Čt" dataDxfId="30"/>
    <tableColumn id="5" xr3:uid="{8FB9889B-D0CF-4FE9-8A62-5B7B1FE7C4A9}" name="Pá" dataDxfId="29"/>
    <tableColumn id="6" xr3:uid="{B1B5B5E1-3349-4348-8E65-46C36ADC9DFB}" name="So" dataDxfId="28"/>
    <tableColumn id="7" xr3:uid="{94CDB875-64F6-4E7A-A810-55D75100150A}" name="Ne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na září. Dny v týdnu se počítají automaticky podle roku zadaného v buňce AE3 v této tabulce."/>
    </ext>
  </extLst>
</table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E230F-273C-45E9-9C80-355F4F860AE9}">
  <sheetPr>
    <tabColor theme="1" tint="0.34998626667073579"/>
  </sheetPr>
  <dimension ref="A1:B9"/>
  <sheetViews>
    <sheetView showGridLines="0" tabSelected="1" workbookViewId="0"/>
  </sheetViews>
  <sheetFormatPr defaultRowHeight="12.75" x14ac:dyDescent="0.2"/>
  <cols>
    <col min="1" max="1" width="2.7109375" customWidth="1"/>
    <col min="2" max="2" width="88.85546875" customWidth="1"/>
    <col min="3" max="3" width="2.7109375" customWidth="1"/>
  </cols>
  <sheetData>
    <row r="1" spans="1:2" ht="18" thickBot="1" x14ac:dyDescent="0.35">
      <c r="A1" s="40"/>
      <c r="B1" s="22" t="s">
        <v>0</v>
      </c>
    </row>
    <row r="2" spans="1:2" ht="30" customHeight="1" thickTop="1" x14ac:dyDescent="0.2">
      <c r="B2" s="24" t="s">
        <v>1</v>
      </c>
    </row>
    <row r="3" spans="1:2" s="23" customFormat="1" ht="30" customHeight="1" x14ac:dyDescent="0.2">
      <c r="B3" s="24" t="s">
        <v>2</v>
      </c>
    </row>
    <row r="4" spans="1:2" s="23" customFormat="1" ht="30" customHeight="1" x14ac:dyDescent="0.2">
      <c r="B4" s="24" t="s">
        <v>3</v>
      </c>
    </row>
    <row r="5" spans="1:2" s="23" customFormat="1" ht="15" x14ac:dyDescent="0.2">
      <c r="B5" s="25" t="s">
        <v>4</v>
      </c>
    </row>
    <row r="6" spans="1:2" ht="45" x14ac:dyDescent="0.2">
      <c r="B6" s="43" t="s">
        <v>33</v>
      </c>
    </row>
    <row r="7" spans="1:2" ht="30" x14ac:dyDescent="0.25">
      <c r="B7" s="31" t="s">
        <v>5</v>
      </c>
    </row>
    <row r="9" spans="1:2" ht="15" x14ac:dyDescent="0.2">
      <c r="B9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AN50"/>
  <sheetViews>
    <sheetView showGridLines="0" zoomScaleNormal="100" workbookViewId="0"/>
  </sheetViews>
  <sheetFormatPr defaultRowHeight="12.75" x14ac:dyDescent="0.2"/>
  <cols>
    <col min="1" max="1" width="3.42578125" style="20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1:40" ht="20.25" customHeight="1" x14ac:dyDescent="0.2">
      <c r="A1" s="26" t="s">
        <v>6</v>
      </c>
    </row>
    <row r="2" spans="1:40" ht="15" customHeight="1" x14ac:dyDescent="0.2"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40" s="28" customFormat="1" ht="34.5" customHeight="1" x14ac:dyDescent="0.45">
      <c r="A3" s="27" t="s">
        <v>34</v>
      </c>
      <c r="C3" s="29"/>
      <c r="D3" s="52" t="s">
        <v>21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3">
        <f ca="1">YEAR(TODAY())</f>
        <v>2019</v>
      </c>
      <c r="AF3" s="53"/>
      <c r="AG3" s="53"/>
      <c r="AH3" s="53"/>
      <c r="AI3" s="53"/>
      <c r="AJ3" s="30"/>
      <c r="AL3" s="51" t="s">
        <v>32</v>
      </c>
      <c r="AM3" s="51"/>
      <c r="AN3" s="51"/>
    </row>
    <row r="4" spans="1:40" ht="9.75" customHeight="1" x14ac:dyDescent="0.2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40" ht="15.75" customHeight="1" x14ac:dyDescent="0.25">
      <c r="A5" s="27" t="s">
        <v>7</v>
      </c>
      <c r="C5" s="14"/>
      <c r="D5" s="3" t="s">
        <v>22</v>
      </c>
      <c r="E5" s="16"/>
      <c r="F5" s="17"/>
      <c r="G5" s="17"/>
      <c r="H5" s="18"/>
      <c r="I5" s="18"/>
      <c r="J5" s="18"/>
      <c r="K5" s="18"/>
      <c r="L5" s="18"/>
      <c r="M5" s="3"/>
      <c r="N5" s="19"/>
      <c r="O5" s="18"/>
      <c r="P5" s="19"/>
      <c r="Q5" s="19"/>
      <c r="R5" s="19"/>
      <c r="S5" s="14"/>
      <c r="T5" s="14"/>
      <c r="U5" s="12" t="s">
        <v>31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4"/>
      <c r="AJ5" s="14"/>
    </row>
    <row r="6" spans="1:40" x14ac:dyDescent="0.2">
      <c r="C6" s="4"/>
      <c r="D6" s="49">
        <f ca="1">DATE(YEAR(TODAY()),1,1)</f>
        <v>43466</v>
      </c>
      <c r="E6" s="49"/>
      <c r="F6" s="49"/>
      <c r="G6" s="49"/>
      <c r="H6" s="48" t="s">
        <v>27</v>
      </c>
      <c r="I6" s="48"/>
      <c r="J6" s="48"/>
      <c r="K6" s="48"/>
      <c r="L6" s="48"/>
      <c r="M6" s="48"/>
      <c r="N6" s="48"/>
      <c r="O6" s="48"/>
      <c r="P6" s="48"/>
      <c r="Q6" s="48"/>
      <c r="R6" s="13"/>
      <c r="S6" s="6"/>
      <c r="T6" s="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4"/>
    </row>
    <row r="7" spans="1:40" ht="14.25" x14ac:dyDescent="0.2">
      <c r="C7" s="5"/>
      <c r="D7" s="49">
        <f ca="1">DATE(YEAR(TODAY()),3,25)</f>
        <v>43549</v>
      </c>
      <c r="E7" s="49"/>
      <c r="F7" s="49"/>
      <c r="G7" s="49"/>
      <c r="H7" s="48" t="s">
        <v>28</v>
      </c>
      <c r="I7" s="48"/>
      <c r="J7" s="48"/>
      <c r="K7" s="48"/>
      <c r="L7" s="48"/>
      <c r="M7" s="48"/>
      <c r="N7" s="48"/>
      <c r="O7" s="48"/>
      <c r="P7" s="48"/>
      <c r="Q7" s="48"/>
      <c r="R7" s="13"/>
      <c r="S7" s="6"/>
      <c r="T7" s="4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4"/>
    </row>
    <row r="8" spans="1:40" ht="14.25" x14ac:dyDescent="0.2">
      <c r="C8" s="5"/>
      <c r="D8" s="49"/>
      <c r="E8" s="49"/>
      <c r="F8" s="49"/>
      <c r="G8" s="49"/>
      <c r="H8" s="48"/>
      <c r="I8" s="48"/>
      <c r="J8" s="48"/>
      <c r="K8" s="48"/>
      <c r="L8" s="48"/>
      <c r="M8" s="48"/>
      <c r="N8" s="48"/>
      <c r="O8" s="48"/>
      <c r="P8" s="48"/>
      <c r="Q8" s="48"/>
      <c r="R8" s="13"/>
      <c r="S8" s="6"/>
      <c r="T8" s="4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4"/>
    </row>
    <row r="9" spans="1:40" ht="14.25" x14ac:dyDescent="0.2">
      <c r="C9" s="5"/>
      <c r="D9" s="49"/>
      <c r="E9" s="49"/>
      <c r="F9" s="49"/>
      <c r="G9" s="49"/>
      <c r="H9" s="48"/>
      <c r="I9" s="48"/>
      <c r="J9" s="48"/>
      <c r="K9" s="48"/>
      <c r="L9" s="48"/>
      <c r="M9" s="48"/>
      <c r="N9" s="48"/>
      <c r="O9" s="48"/>
      <c r="P9" s="48"/>
      <c r="Q9" s="48"/>
      <c r="R9" s="13"/>
      <c r="S9" s="6"/>
      <c r="T9" s="4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4"/>
    </row>
    <row r="10" spans="1:40" ht="14.25" x14ac:dyDescent="0.2">
      <c r="C10" s="5"/>
      <c r="D10" s="49"/>
      <c r="E10" s="49"/>
      <c r="F10" s="49"/>
      <c r="G10" s="49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13"/>
      <c r="S10" s="6"/>
      <c r="T10" s="4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4"/>
    </row>
    <row r="11" spans="1:40" ht="14.25" x14ac:dyDescent="0.2">
      <c r="C11" s="5"/>
      <c r="D11" s="49"/>
      <c r="E11" s="49"/>
      <c r="F11" s="49"/>
      <c r="G11" s="49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13"/>
      <c r="S11" s="6"/>
      <c r="T11" s="4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4"/>
    </row>
    <row r="12" spans="1:40" ht="14.25" x14ac:dyDescent="0.2">
      <c r="C12" s="5"/>
      <c r="D12" s="49"/>
      <c r="E12" s="49"/>
      <c r="F12" s="49"/>
      <c r="G12" s="49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13"/>
      <c r="S12" s="6"/>
      <c r="T12" s="4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4"/>
    </row>
    <row r="13" spans="1:40" ht="14.25" x14ac:dyDescent="0.2">
      <c r="C13" s="5"/>
      <c r="D13" s="49"/>
      <c r="E13" s="49"/>
      <c r="F13" s="49"/>
      <c r="G13" s="49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13"/>
      <c r="S13" s="6"/>
      <c r="T13" s="4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4"/>
    </row>
    <row r="14" spans="1:40" ht="14.25" x14ac:dyDescent="0.2">
      <c r="C14" s="5"/>
      <c r="D14" s="49"/>
      <c r="E14" s="49"/>
      <c r="F14" s="49"/>
      <c r="G14" s="49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13"/>
      <c r="S14" s="6"/>
      <c r="T14" s="4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4"/>
    </row>
    <row r="15" spans="1:40" ht="14.25" x14ac:dyDescent="0.2">
      <c r="C15" s="5"/>
      <c r="D15" s="49"/>
      <c r="E15" s="49"/>
      <c r="F15" s="49"/>
      <c r="G15" s="49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13"/>
      <c r="S15" s="6"/>
      <c r="T15" s="4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4"/>
    </row>
    <row r="16" spans="1:40" ht="14.25" x14ac:dyDescent="0.2">
      <c r="C16" s="5"/>
      <c r="D16" s="49"/>
      <c r="E16" s="49"/>
      <c r="F16" s="49"/>
      <c r="G16" s="49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13"/>
      <c r="S16" s="6"/>
      <c r="T16" s="4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4"/>
    </row>
    <row r="17" spans="1:37" ht="14.25" x14ac:dyDescent="0.2">
      <c r="C17" s="5"/>
      <c r="D17" s="49"/>
      <c r="E17" s="49"/>
      <c r="F17" s="49"/>
      <c r="G17" s="49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13"/>
      <c r="S17" s="6"/>
      <c r="T17" s="4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4"/>
    </row>
    <row r="18" spans="1:37" ht="14.25" x14ac:dyDescent="0.2">
      <c r="C18" s="5"/>
      <c r="D18" s="49"/>
      <c r="E18" s="49"/>
      <c r="F18" s="49"/>
      <c r="G18" s="49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13"/>
      <c r="S18" s="6"/>
      <c r="T18" s="4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4"/>
    </row>
    <row r="19" spans="1:37" ht="14.25" x14ac:dyDescent="0.2">
      <c r="C19" s="5"/>
      <c r="D19" s="49"/>
      <c r="E19" s="49"/>
      <c r="F19" s="49"/>
      <c r="G19" s="49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13"/>
      <c r="S19" s="6"/>
      <c r="T19" s="4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4"/>
    </row>
    <row r="20" spans="1:37" ht="14.25" x14ac:dyDescent="0.2">
      <c r="C20" s="5"/>
      <c r="D20" s="49"/>
      <c r="E20" s="49"/>
      <c r="F20" s="49"/>
      <c r="G20" s="49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13"/>
      <c r="S20" s="6"/>
      <c r="T20" s="4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4"/>
    </row>
    <row r="21" spans="1:37" ht="14.25" x14ac:dyDescent="0.2">
      <c r="C21" s="5"/>
      <c r="D21" s="47"/>
      <c r="E21" s="47"/>
      <c r="F21" s="6"/>
      <c r="G21" s="6"/>
      <c r="H21" s="6"/>
      <c r="I21" s="6"/>
      <c r="J21" s="6"/>
      <c r="K21" s="6"/>
      <c r="L21" s="6"/>
      <c r="M21" s="5"/>
      <c r="N21" s="5"/>
      <c r="O21" s="5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7" ht="14.25" x14ac:dyDescent="0.2">
      <c r="C22" s="7"/>
      <c r="D22" s="46"/>
      <c r="E22" s="46"/>
      <c r="F22" s="8"/>
      <c r="G22" s="8"/>
      <c r="H22" s="8"/>
      <c r="I22" s="9"/>
      <c r="J22" s="9"/>
      <c r="K22" s="9"/>
      <c r="L22" s="9"/>
      <c r="M22" s="10"/>
      <c r="N22" s="10"/>
      <c r="O22" s="10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 ht="33.75" customHeight="1" x14ac:dyDescent="0.2">
      <c r="A23" s="26" t="s">
        <v>8</v>
      </c>
    </row>
    <row r="24" spans="1:37" ht="15.75" x14ac:dyDescent="0.25">
      <c r="A24" s="26" t="s">
        <v>9</v>
      </c>
      <c r="C24" s="45">
        <f ca="1">DATE(RokKalendáře,1,1)</f>
        <v>43466</v>
      </c>
      <c r="D24" s="45"/>
      <c r="E24" s="45"/>
      <c r="F24" s="45"/>
      <c r="G24" s="45"/>
      <c r="H24" s="45"/>
      <c r="I24" s="45"/>
      <c r="J24" s="32"/>
      <c r="K24" s="33"/>
      <c r="L24" s="45">
        <f ca="1">DATE(RokKalendáře,2,1)</f>
        <v>43497</v>
      </c>
      <c r="M24" s="45"/>
      <c r="N24" s="45"/>
      <c r="O24" s="45"/>
      <c r="P24" s="45"/>
      <c r="Q24" s="45"/>
      <c r="R24" s="45"/>
      <c r="S24" s="32"/>
      <c r="T24" s="40"/>
      <c r="U24" s="45">
        <f ca="1">DATE(RokKalendáře,3,1)</f>
        <v>43525</v>
      </c>
      <c r="V24" s="45"/>
      <c r="W24" s="45"/>
      <c r="X24" s="45"/>
      <c r="Y24" s="45"/>
      <c r="Z24" s="45"/>
      <c r="AA24" s="45"/>
      <c r="AB24" s="32"/>
      <c r="AC24" s="37"/>
      <c r="AD24" s="45">
        <f ca="1">DATE(RokKalendáře,4,1)</f>
        <v>43556</v>
      </c>
      <c r="AE24" s="45"/>
      <c r="AF24" s="45"/>
      <c r="AG24" s="45"/>
      <c r="AH24" s="45"/>
      <c r="AI24" s="45"/>
      <c r="AJ24" s="45"/>
    </row>
    <row r="25" spans="1:37" ht="15.75" x14ac:dyDescent="0.25">
      <c r="A25" s="26" t="s">
        <v>10</v>
      </c>
      <c r="C25" s="21" t="s">
        <v>20</v>
      </c>
      <c r="D25" s="21" t="s">
        <v>23</v>
      </c>
      <c r="E25" s="21" t="s">
        <v>24</v>
      </c>
      <c r="F25" s="21" t="s">
        <v>25</v>
      </c>
      <c r="G25" s="21" t="s">
        <v>26</v>
      </c>
      <c r="H25" s="21" t="s">
        <v>29</v>
      </c>
      <c r="I25" s="21" t="s">
        <v>30</v>
      </c>
      <c r="J25" s="34"/>
      <c r="K25" s="35"/>
      <c r="L25" s="21" t="s">
        <v>20</v>
      </c>
      <c r="M25" s="21" t="s">
        <v>23</v>
      </c>
      <c r="N25" s="21" t="s">
        <v>24</v>
      </c>
      <c r="O25" s="21" t="s">
        <v>25</v>
      </c>
      <c r="P25" s="21" t="s">
        <v>26</v>
      </c>
      <c r="Q25" s="21" t="s">
        <v>29</v>
      </c>
      <c r="R25" s="21" t="s">
        <v>30</v>
      </c>
      <c r="S25" s="34"/>
      <c r="T25" s="40"/>
      <c r="U25" s="21" t="s">
        <v>20</v>
      </c>
      <c r="V25" s="21" t="s">
        <v>23</v>
      </c>
      <c r="W25" s="21" t="s">
        <v>24</v>
      </c>
      <c r="X25" s="21" t="s">
        <v>25</v>
      </c>
      <c r="Y25" s="21" t="s">
        <v>26</v>
      </c>
      <c r="Z25" s="21" t="s">
        <v>29</v>
      </c>
      <c r="AA25" s="21" t="s">
        <v>30</v>
      </c>
      <c r="AB25" s="34"/>
      <c r="AC25" s="33"/>
      <c r="AD25" s="21" t="s">
        <v>20</v>
      </c>
      <c r="AE25" s="21" t="s">
        <v>23</v>
      </c>
      <c r="AF25" s="21" t="s">
        <v>24</v>
      </c>
      <c r="AG25" s="21" t="s">
        <v>25</v>
      </c>
      <c r="AH25" s="21" t="s">
        <v>26</v>
      </c>
      <c r="AI25" s="21" t="s">
        <v>29</v>
      </c>
      <c r="AJ25" s="21" t="s">
        <v>30</v>
      </c>
    </row>
    <row r="26" spans="1:37" ht="15" x14ac:dyDescent="0.2">
      <c r="A26" s="26" t="s">
        <v>11</v>
      </c>
      <c r="C26" s="44" t="str">
        <f ca="1">IF(DAY(Ne1Led)=1,"",IF(AND(YEAR(Ne1Led+1)=RokKalendáře,MONTH(Ne1Led+1)=1),Ne1Led+1,""))</f>
        <v/>
      </c>
      <c r="D26" s="44">
        <f ca="1">IF(DAY(Ne1Led)=1,"",IF(AND(YEAR(Ne1Led+2)=RokKalendáře,MONTH(Ne1Led+2)=1),Ne1Led+2,""))</f>
        <v>43466</v>
      </c>
      <c r="E26" s="44">
        <f ca="1">IF(DAY(Ne1Led)=1,"",IF(AND(YEAR(Ne1Led+3)=RokKalendáře,MONTH(Ne1Led+3)=1),Ne1Led+3,""))</f>
        <v>43467</v>
      </c>
      <c r="F26" s="44">
        <f ca="1">IF(DAY(Ne1Led)=1,"",IF(AND(YEAR(Ne1Led+4)=RokKalendáře,MONTH(Ne1Led+4)=1),Ne1Led+4,""))</f>
        <v>43468</v>
      </c>
      <c r="G26" s="44">
        <f ca="1">IF(DAY(Ne1Led)=1,"",IF(AND(YEAR(Ne1Led+5)=RokKalendáře,MONTH(Ne1Led+5)=1),Ne1Led+5,""))</f>
        <v>43469</v>
      </c>
      <c r="H26" s="44">
        <f ca="1">IF(DAY(Ne1Led)=1,"",IF(AND(YEAR(Ne1Led+6)=RokKalendáře,MONTH(Ne1Led+6)=1),Ne1Led+6,""))</f>
        <v>43470</v>
      </c>
      <c r="I26" s="44">
        <f ca="1">IF(DAY(Ne1Led)=1,IF(AND(YEAR(Ne1Led)=RokKalendáře,MONTH(Ne1Led)=1),Ne1Led,""),IF(AND(YEAR(Ne1Led+7)=RokKalendáře,MONTH(Ne1Led+7)=1),Ne1Led+7,""))</f>
        <v>43471</v>
      </c>
      <c r="J26" s="36"/>
      <c r="K26" s="35"/>
      <c r="L26" s="44" t="str">
        <f ca="1">IF(DAY(Ne1Úno)=1,"",IF(AND(YEAR(Ne1Úno+1)=RokKalendáře,MONTH(Ne1Úno+1)=2),Ne1Úno+1,""))</f>
        <v/>
      </c>
      <c r="M26" s="44" t="str">
        <f ca="1">IF(DAY(Ne1Úno)=1,"",IF(AND(YEAR(Ne1Úno+2)=RokKalendáře,MONTH(Ne1Úno+2)=2),Ne1Úno+2,""))</f>
        <v/>
      </c>
      <c r="N26" s="44" t="str">
        <f ca="1">IF(DAY(Ne1Úno)=1,"",IF(AND(YEAR(Ne1Úno+3)=RokKalendáře,MONTH(Ne1Úno+3)=2),Ne1Úno+3,""))</f>
        <v/>
      </c>
      <c r="O26" s="44" t="str">
        <f ca="1">IF(DAY(Ne1Úno)=1,"",IF(AND(YEAR(Ne1Úno+4)=RokKalendáře,MONTH(Ne1Úno+4)=2),Ne1Úno+4,""))</f>
        <v/>
      </c>
      <c r="P26" s="44">
        <f ca="1">IF(DAY(Ne1Úno)=1,"",IF(AND(YEAR(Ne1Úno+5)=RokKalendáře,MONTH(Ne1Úno+5)=2),Ne1Úno+5,""))</f>
        <v>43497</v>
      </c>
      <c r="Q26" s="44">
        <f ca="1">IF(DAY(Ne1Úno)=1,"",IF(AND(YEAR(Ne1Úno+6)=RokKalendáře,MONTH(Ne1Úno+6)=2),Ne1Úno+6,""))</f>
        <v>43498</v>
      </c>
      <c r="R26" s="44">
        <f ca="1">IF(DAY(Ne1Úno)=1,IF(AND(YEAR(Ne1Úno)=RokKalendáře,MONTH(Ne1Úno)=2),Ne1Úno,""),IF(AND(YEAR(Ne1Úno+7)=RokKalendáře,MONTH(Ne1Úno+7)=2),Ne1Úno+7,""))</f>
        <v>43499</v>
      </c>
      <c r="S26" s="36"/>
      <c r="T26" s="40"/>
      <c r="U26" s="44" t="str">
        <f ca="1">IF(DAY(Ne1Bře)=1,"",IF(AND(YEAR(Ne1Bře+1)=RokKalendáře,MONTH(Ne1Bře+1)=3),Ne1Bře+1,""))</f>
        <v/>
      </c>
      <c r="V26" s="44" t="str">
        <f ca="1">IF(DAY(Ne1Bře)=1,"",IF(AND(YEAR(Ne1Bře+2)=RokKalendáře,MONTH(Ne1Bře+2)=3),Ne1Bře+2,""))</f>
        <v/>
      </c>
      <c r="W26" s="44" t="str">
        <f ca="1">IF(DAY(Ne1Bře)=1,"",IF(AND(YEAR(Ne1Bře+3)=RokKalendáře,MONTH(Ne1Bře+3)=3),Ne1Bře+3,""))</f>
        <v/>
      </c>
      <c r="X26" s="44" t="str">
        <f ca="1">IF(DAY(Ne1Bře)=1,"",IF(AND(YEAR(Ne1Bře+4)=RokKalendáře,MONTH(Ne1Bře+4)=3),Ne1Bře+4,""))</f>
        <v/>
      </c>
      <c r="Y26" s="44">
        <f ca="1">IF(DAY(Ne1Bře)=1,"",IF(AND(YEAR(Ne1Bře+5)=RokKalendáře,MONTH(Ne1Bře+5)=3),Ne1Bře+5,""))</f>
        <v>43525</v>
      </c>
      <c r="Z26" s="44">
        <f ca="1">IF(DAY(Ne1Bře)=1,"",IF(AND(YEAR(Ne1Bře+6)=RokKalendáře,MONTH(Ne1Bře+6)=3),Ne1Bře+6,""))</f>
        <v>43526</v>
      </c>
      <c r="AA26" s="44">
        <f ca="1">IF(DAY(Ne1Bře)=1,IF(AND(YEAR(Ne1Bře)=RokKalendáře,MONTH(Ne1Bře)=3),Ne1Bře,""),IF(AND(YEAR(Ne1Bře+7)=RokKalendáře,MONTH(Ne1Bře+7)=3),Ne1Bře+7,""))</f>
        <v>43527</v>
      </c>
      <c r="AB26" s="36"/>
      <c r="AC26" s="35"/>
      <c r="AD26" s="44">
        <f ca="1">IF(DAY(Ne1Dub)=1,"",IF(AND(YEAR(Ne1Dub+1)=RokKalendáře,MONTH(Ne1Dub+1)=4),Ne1Dub+1,""))</f>
        <v>43556</v>
      </c>
      <c r="AE26" s="44">
        <f ca="1">IF(DAY(Ne1Dub)=1,"",IF(AND(YEAR(Ne1Dub+2)=RokKalendáře,MONTH(Ne1Dub+2)=4),Ne1Dub+2,""))</f>
        <v>43557</v>
      </c>
      <c r="AF26" s="44">
        <f ca="1">IF(DAY(Ne1Dub)=1,"",IF(AND(YEAR(Ne1Dub+3)=RokKalendáře,MONTH(Ne1Dub+3)=4),Ne1Dub+3,""))</f>
        <v>43558</v>
      </c>
      <c r="AG26" s="44">
        <f ca="1">IF(DAY(Ne1Dub)=1,"",IF(AND(YEAR(Ne1Dub+4)=RokKalendáře,MONTH(Ne1Dub+4)=4),Ne1Dub+4,""))</f>
        <v>43559</v>
      </c>
      <c r="AH26" s="44">
        <f ca="1">IF(DAY(Ne1Dub)=1,"",IF(AND(YEAR(Ne1Dub+5)=RokKalendáře,MONTH(Ne1Dub+5)=4),Ne1Dub+5,""))</f>
        <v>43560</v>
      </c>
      <c r="AI26" s="44">
        <f ca="1">IF(DAY(Ne1Dub)=1,"",IF(AND(YEAR(Ne1Dub+6)=RokKalendáře,MONTH(Ne1Dub+6)=4),Ne1Dub+6,""))</f>
        <v>43561</v>
      </c>
      <c r="AJ26" s="44">
        <f ca="1">IF(DAY(Ne1Dub)=1,IF(AND(YEAR(Ne1Dub)=RokKalendáře,MONTH(Ne1Dub)=4),Ne1Dub,""),IF(AND(YEAR(Ne1Dub+7)=RokKalendáře,MONTH(Ne1Dub+7)=4),Ne1Dub+7,""))</f>
        <v>43562</v>
      </c>
    </row>
    <row r="27" spans="1:37" x14ac:dyDescent="0.2">
      <c r="C27" s="44">
        <f ca="1">IF(DAY(Ne1Led)=1,IF(AND(YEAR(Ne1Led+1)=RokKalendáře,MONTH(Ne1Led+1)=1),Ne1Led+1,""),IF(AND(YEAR(Ne1Led+8)=RokKalendáře,MONTH(Ne1Led+8)=1),Ne1Led+8,""))</f>
        <v>43472</v>
      </c>
      <c r="D27" s="44">
        <f ca="1">IF(DAY(Ne1Led)=1,IF(AND(YEAR(Ne1Led+2)=RokKalendáře,MONTH(Ne1Led+2)=1),Ne1Led+2,""),IF(AND(YEAR(Ne1Led+9)=RokKalendáře,MONTH(Ne1Led+9)=1),Ne1Led+9,""))</f>
        <v>43473</v>
      </c>
      <c r="E27" s="44">
        <f ca="1">IF(DAY(Ne1Led)=1,IF(AND(YEAR(Ne1Led+3)=RokKalendáře,MONTH(Ne1Led+3)=1),Ne1Led+3,""),IF(AND(YEAR(Ne1Led+10)=RokKalendáře,MONTH(Ne1Led+10)=1),Ne1Led+10,""))</f>
        <v>43474</v>
      </c>
      <c r="F27" s="44">
        <f ca="1">IF(DAY(Ne1Led)=1,IF(AND(YEAR(Ne1Led+4)=RokKalendáře,MONTH(Ne1Led+4)=1),Ne1Led+4,""),IF(AND(YEAR(Ne1Led+11)=RokKalendáře,MONTH(Ne1Led+11)=1),Ne1Led+11,""))</f>
        <v>43475</v>
      </c>
      <c r="G27" s="44">
        <f ca="1">IF(DAY(Ne1Led)=1,IF(AND(YEAR(Ne1Led+5)=RokKalendáře,MONTH(Ne1Led+5)=1),Ne1Led+5,""),IF(AND(YEAR(Ne1Led+12)=RokKalendáře,MONTH(Ne1Led+12)=1),Ne1Led+12,""))</f>
        <v>43476</v>
      </c>
      <c r="H27" s="44">
        <f ca="1">IF(DAY(Ne1Led)=1,IF(AND(YEAR(Ne1Led+6)=RokKalendáře,MONTH(Ne1Led+6)=1),Ne1Led+6,""),IF(AND(YEAR(Ne1Led+13)=RokKalendáře,MONTH(Ne1Led+13)=1),Ne1Led+13,""))</f>
        <v>43477</v>
      </c>
      <c r="I27" s="44">
        <f ca="1">IF(DAY(Ne1Led)=1,IF(AND(YEAR(Ne1Led+7)=RokKalendáře,MONTH(Ne1Led+7)=1),Ne1Led+7,""),IF(AND(YEAR(Ne1Led+14)=RokKalendáře,MONTH(Ne1Led+14)=1),Ne1Led+14,""))</f>
        <v>43478</v>
      </c>
      <c r="J27" s="36"/>
      <c r="K27" s="35"/>
      <c r="L27" s="44">
        <f ca="1">IF(DAY(Ne1Úno)=1,IF(AND(YEAR(Ne1Úno+1)=RokKalendáře,MONTH(Ne1Úno+1)=2),Ne1Úno+1,""),IF(AND(YEAR(Ne1Úno+8)=RokKalendáře,MONTH(Ne1Úno+8)=2),Ne1Úno+8,""))</f>
        <v>43500</v>
      </c>
      <c r="M27" s="44">
        <f ca="1">IF(DAY(Ne1Úno)=1,IF(AND(YEAR(Ne1Úno+2)=RokKalendáře,MONTH(Ne1Úno+2)=2),Ne1Úno+2,""),IF(AND(YEAR(Ne1Úno+9)=RokKalendáře,MONTH(Ne1Úno+9)=2),Ne1Úno+9,""))</f>
        <v>43501</v>
      </c>
      <c r="N27" s="44">
        <f ca="1">IF(DAY(Ne1Úno)=1,IF(AND(YEAR(Ne1Úno+3)=RokKalendáře,MONTH(Ne1Úno+3)=2),Ne1Úno+3,""),IF(AND(YEAR(Ne1Úno+10)=RokKalendáře,MONTH(Ne1Úno+10)=2),Ne1Úno+10,""))</f>
        <v>43502</v>
      </c>
      <c r="O27" s="44">
        <f ca="1">IF(DAY(Ne1Úno)=1,IF(AND(YEAR(Ne1Úno+4)=RokKalendáře,MONTH(Ne1Úno+4)=2),Ne1Úno+4,""),IF(AND(YEAR(Ne1Úno+11)=RokKalendáře,MONTH(Ne1Úno+11)=2),Ne1Úno+11,""))</f>
        <v>43503</v>
      </c>
      <c r="P27" s="44">
        <f ca="1">IF(DAY(Ne1Úno)=1,IF(AND(YEAR(Ne1Úno+5)=RokKalendáře,MONTH(Ne1Úno+5)=2),Ne1Úno+5,""),IF(AND(YEAR(Ne1Úno+12)=RokKalendáře,MONTH(Ne1Úno+12)=2),Ne1Úno+12,""))</f>
        <v>43504</v>
      </c>
      <c r="Q27" s="44">
        <f ca="1">IF(DAY(Ne1Úno)=1,IF(AND(YEAR(Ne1Úno+6)=RokKalendáře,MONTH(Ne1Úno+6)=2),Ne1Úno+6,""),IF(AND(YEAR(Ne1Úno+13)=RokKalendáře,MONTH(Ne1Úno+13)=2),Ne1Úno+13,""))</f>
        <v>43505</v>
      </c>
      <c r="R27" s="44">
        <f ca="1">IF(DAY(Ne1Úno)=1,IF(AND(YEAR(Ne1Úno+7)=RokKalendáře,MONTH(Ne1Úno+7)=2),Ne1Úno+7,""),IF(AND(YEAR(Ne1Úno+14)=RokKalendáře,MONTH(Ne1Úno+14)=2),Ne1Úno+14,""))</f>
        <v>43506</v>
      </c>
      <c r="S27" s="36"/>
      <c r="T27" s="40"/>
      <c r="U27" s="44">
        <f ca="1">IF(DAY(Ne1Bře)=1,IF(AND(YEAR(Ne1Bře+1)=RokKalendáře,MONTH(Ne1Bře+1)=3),Ne1Bře+1,""),IF(AND(YEAR(Ne1Bře+8)=RokKalendáře,MONTH(Ne1Bře+8)=3),Ne1Bře+8,""))</f>
        <v>43528</v>
      </c>
      <c r="V27" s="44">
        <f ca="1">IF(DAY(Ne1Bře)=1,IF(AND(YEAR(Ne1Bře+2)=RokKalendáře,MONTH(Ne1Bře+2)=3),Ne1Bře+2,""),IF(AND(YEAR(Ne1Bře+9)=RokKalendáře,MONTH(Ne1Bře+9)=3),Ne1Bře+9,""))</f>
        <v>43529</v>
      </c>
      <c r="W27" s="44">
        <f ca="1">IF(DAY(Ne1Bře)=1,IF(AND(YEAR(Ne1Bře+3)=RokKalendáře,MONTH(Ne1Bře+3)=3),Ne1Bře+3,""),IF(AND(YEAR(Ne1Bře+10)=RokKalendáře,MONTH(Ne1Bře+10)=3),Ne1Bře+10,""))</f>
        <v>43530</v>
      </c>
      <c r="X27" s="44">
        <f ca="1">IF(DAY(Ne1Bře)=1,IF(AND(YEAR(Ne1Bře+4)=RokKalendáře,MONTH(Ne1Bře+4)=3),Ne1Bře+4,""),IF(AND(YEAR(Ne1Bře+11)=RokKalendáře,MONTH(Ne1Bře+11)=3),Ne1Bře+11,""))</f>
        <v>43531</v>
      </c>
      <c r="Y27" s="44">
        <f ca="1">IF(DAY(Ne1Bře)=1,IF(AND(YEAR(Ne1Bře+5)=RokKalendáře,MONTH(Ne1Bře+5)=3),Ne1Bře+5,""),IF(AND(YEAR(Ne1Bře+12)=RokKalendáře,MONTH(Ne1Bře+12)=3),Ne1Bře+12,""))</f>
        <v>43532</v>
      </c>
      <c r="Z27" s="44">
        <f ca="1">IF(DAY(Ne1Bře)=1,IF(AND(YEAR(Ne1Bře+6)=RokKalendáře,MONTH(Ne1Bře+6)=3),Ne1Bře+6,""),IF(AND(YEAR(Ne1Bře+13)=RokKalendáře,MONTH(Ne1Bře+13)=3),Ne1Bře+13,""))</f>
        <v>43533</v>
      </c>
      <c r="AA27" s="44">
        <f ca="1">IF(DAY(Ne1Bře)=1,IF(AND(YEAR(Ne1Bře+7)=RokKalendáře,MONTH(Ne1Bře+7)=3),Ne1Bře+7,""),IF(AND(YEAR(Ne1Bře+14)=RokKalendáře,MONTH(Ne1Bře+14)=3),Ne1Bře+14,""))</f>
        <v>43534</v>
      </c>
      <c r="AB27" s="36"/>
      <c r="AC27" s="35"/>
      <c r="AD27" s="44">
        <f ca="1">IF(DAY(Ne1Dub)=1,IF(AND(YEAR(Ne1Dub+1)=RokKalendáře,MONTH(Ne1Dub+1)=4),Ne1Dub+1,""),IF(AND(YEAR(Ne1Dub+8)=RokKalendáře,MONTH(Ne1Dub+8)=4),Ne1Dub+8,""))</f>
        <v>43563</v>
      </c>
      <c r="AE27" s="44">
        <f ca="1">IF(DAY(Ne1Dub)=1,IF(AND(YEAR(Ne1Dub+2)=RokKalendáře,MONTH(Ne1Dub+2)=4),Ne1Dub+2,""),IF(AND(YEAR(Ne1Dub+9)=RokKalendáře,MONTH(Ne1Dub+9)=4),Ne1Dub+9,""))</f>
        <v>43564</v>
      </c>
      <c r="AF27" s="44">
        <f ca="1">IF(DAY(Ne1Dub)=1,IF(AND(YEAR(Ne1Dub+3)=RokKalendáře,MONTH(Ne1Dub+3)=4),Ne1Dub+3,""),IF(AND(YEAR(Ne1Dub+10)=RokKalendáře,MONTH(Ne1Dub+10)=4),Ne1Dub+10,""))</f>
        <v>43565</v>
      </c>
      <c r="AG27" s="44">
        <f ca="1">IF(DAY(Ne1Dub)=1,IF(AND(YEAR(Ne1Dub+4)=RokKalendáře,MONTH(Ne1Dub+4)=4),Ne1Dub+4,""),IF(AND(YEAR(Ne1Dub+11)=RokKalendáře,MONTH(Ne1Dub+11)=4),Ne1Dub+11,""))</f>
        <v>43566</v>
      </c>
      <c r="AH27" s="44">
        <f ca="1">IF(DAY(Ne1Dub)=1,IF(AND(YEAR(Ne1Dub+5)=RokKalendáře,MONTH(Ne1Dub+5)=4),Ne1Dub+5,""),IF(AND(YEAR(Ne1Dub+12)=RokKalendáře,MONTH(Ne1Dub+12)=4),Ne1Dub+12,""))</f>
        <v>43567</v>
      </c>
      <c r="AI27" s="44">
        <f ca="1">IF(DAY(Ne1Dub)=1,IF(AND(YEAR(Ne1Dub+6)=RokKalendáře,MONTH(Ne1Dub+6)=4),Ne1Dub+6,""),IF(AND(YEAR(Ne1Dub+13)=RokKalendáře,MONTH(Ne1Dub+13)=4),Ne1Dub+13,""))</f>
        <v>43568</v>
      </c>
      <c r="AJ27" s="44">
        <f ca="1">IF(DAY(Ne1Dub)=1,IF(AND(YEAR(Ne1Dub+7)=RokKalendáře,MONTH(Ne1Dub+7)=4),Ne1Dub+7,""),IF(AND(YEAR(Ne1Dub+14)=RokKalendáře,MONTH(Ne1Dub+14)=4),Ne1Dub+14,""))</f>
        <v>43569</v>
      </c>
    </row>
    <row r="28" spans="1:37" x14ac:dyDescent="0.2">
      <c r="C28" s="44">
        <f ca="1">IF(DAY(Ne1Led)=1,IF(AND(YEAR(Ne1Led+8)=RokKalendáře,MONTH(Ne1Led+8)=1),Ne1Led+8,""),IF(AND(YEAR(Ne1Led+15)=RokKalendáře,MONTH(Ne1Led+15)=1),Ne1Led+15,""))</f>
        <v>43479</v>
      </c>
      <c r="D28" s="44">
        <f ca="1">IF(DAY(Ne1Led)=1,IF(AND(YEAR(Ne1Led+9)=RokKalendáře,MONTH(Ne1Led+9)=1),Ne1Led+9,""),IF(AND(YEAR(Ne1Led+16)=RokKalendáře,MONTH(Ne1Led+16)=1),Ne1Led+16,""))</f>
        <v>43480</v>
      </c>
      <c r="E28" s="44">
        <f ca="1">IF(DAY(Ne1Led)=1,IF(AND(YEAR(Ne1Led+10)=RokKalendáře,MONTH(Ne1Led+10)=1),Ne1Led+10,""),IF(AND(YEAR(Ne1Led+17)=RokKalendáře,MONTH(Ne1Led+17)=1),Ne1Led+17,""))</f>
        <v>43481</v>
      </c>
      <c r="F28" s="44">
        <f ca="1">IF(DAY(Ne1Led)=1,IF(AND(YEAR(Ne1Led+11)=RokKalendáře,MONTH(Ne1Led+11)=1),Ne1Led+11,""),IF(AND(YEAR(Ne1Led+18)=RokKalendáře,MONTH(Ne1Led+18)=1),Ne1Led+18,""))</f>
        <v>43482</v>
      </c>
      <c r="G28" s="44">
        <f ca="1">IF(DAY(Ne1Led)=1,IF(AND(YEAR(Ne1Led+12)=RokKalendáře,MONTH(Ne1Led+12)=1),Ne1Led+12,""),IF(AND(YEAR(Ne1Led+19)=RokKalendáře,MONTH(Ne1Led+19)=1),Ne1Led+19,""))</f>
        <v>43483</v>
      </c>
      <c r="H28" s="44">
        <f ca="1">IF(DAY(Ne1Led)=1,IF(AND(YEAR(Ne1Led+13)=RokKalendáře,MONTH(Ne1Led+13)=1),Ne1Led+13,""),IF(AND(YEAR(Ne1Led+20)=RokKalendáře,MONTH(Ne1Led+20)=1),Ne1Led+20,""))</f>
        <v>43484</v>
      </c>
      <c r="I28" s="44">
        <f ca="1">IF(DAY(Ne1Led)=1,IF(AND(YEAR(Ne1Led+14)=RokKalendáře,MONTH(Ne1Led+14)=1),Ne1Led+14,""),IF(AND(YEAR(Ne1Led+21)=RokKalendáře,MONTH(Ne1Led+21)=1),Ne1Led+21,""))</f>
        <v>43485</v>
      </c>
      <c r="J28" s="36"/>
      <c r="K28" s="35"/>
      <c r="L28" s="44">
        <f ca="1">IF(DAY(Ne1Úno)=1,IF(AND(YEAR(Ne1Úno+8)=RokKalendáře,MONTH(Ne1Úno+8)=2),Ne1Úno+8,""),IF(AND(YEAR(Ne1Úno+15)=RokKalendáře,MONTH(Ne1Úno+15)=2),Ne1Úno+15,""))</f>
        <v>43507</v>
      </c>
      <c r="M28" s="44">
        <f ca="1">IF(DAY(Ne1Úno)=1,IF(AND(YEAR(Ne1Úno+9)=RokKalendáře,MONTH(Ne1Úno+9)=2),Ne1Úno+9,""),IF(AND(YEAR(Ne1Úno+16)=RokKalendáře,MONTH(Ne1Úno+16)=2),Ne1Úno+16,""))</f>
        <v>43508</v>
      </c>
      <c r="N28" s="44">
        <f ca="1">IF(DAY(Ne1Úno)=1,IF(AND(YEAR(Ne1Úno+10)=RokKalendáře,MONTH(Ne1Úno+10)=2),Ne1Úno+10,""),IF(AND(YEAR(Ne1Úno+17)=RokKalendáře,MONTH(Ne1Úno+17)=2),Ne1Úno+17,""))</f>
        <v>43509</v>
      </c>
      <c r="O28" s="44">
        <f ca="1">IF(DAY(Ne1Úno)=1,IF(AND(YEAR(Ne1Úno+11)=RokKalendáře,MONTH(Ne1Úno+11)=2),Ne1Úno+11,""),IF(AND(YEAR(Ne1Úno+18)=RokKalendáře,MONTH(Ne1Úno+18)=2),Ne1Úno+18,""))</f>
        <v>43510</v>
      </c>
      <c r="P28" s="44">
        <f ca="1">IF(DAY(Ne1Úno)=1,IF(AND(YEAR(Ne1Úno+12)=RokKalendáře,MONTH(Ne1Úno+12)=2),Ne1Úno+12,""),IF(AND(YEAR(Ne1Úno+19)=RokKalendáře,MONTH(Ne1Úno+19)=2),Ne1Úno+19,""))</f>
        <v>43511</v>
      </c>
      <c r="Q28" s="44">
        <f ca="1">IF(DAY(Ne1Úno)=1,IF(AND(YEAR(Ne1Úno+13)=RokKalendáře,MONTH(Ne1Úno+13)=2),Ne1Úno+13,""),IF(AND(YEAR(Ne1Úno+20)=RokKalendáře,MONTH(Ne1Úno+20)=2),Ne1Úno+20,""))</f>
        <v>43512</v>
      </c>
      <c r="R28" s="44">
        <f ca="1">IF(DAY(Ne1Úno)=1,IF(AND(YEAR(Ne1Úno+14)=RokKalendáře,MONTH(Ne1Úno+14)=2),Ne1Úno+14,""),IF(AND(YEAR(Ne1Úno+21)=RokKalendáře,MONTH(Ne1Úno+21)=2),Ne1Úno+21,""))</f>
        <v>43513</v>
      </c>
      <c r="S28" s="36"/>
      <c r="T28" s="40"/>
      <c r="U28" s="44">
        <f ca="1">IF(DAY(Ne1Bře)=1,IF(AND(YEAR(Ne1Bře+8)=RokKalendáře,MONTH(Ne1Bře+8)=3),Ne1Bře+8,""),IF(AND(YEAR(Ne1Bře+15)=RokKalendáře,MONTH(Ne1Bře+15)=3),Ne1Bře+15,""))</f>
        <v>43535</v>
      </c>
      <c r="V28" s="44">
        <f ca="1">IF(DAY(Ne1Bře)=1,IF(AND(YEAR(Ne1Bře+9)=RokKalendáře,MONTH(Ne1Bře+9)=3),Ne1Bře+9,""),IF(AND(YEAR(Ne1Bře+16)=RokKalendáře,MONTH(Ne1Bře+16)=3),Ne1Bře+16,""))</f>
        <v>43536</v>
      </c>
      <c r="W28" s="44">
        <f ca="1">IF(DAY(Ne1Bře)=1,IF(AND(YEAR(Ne1Bře+10)=RokKalendáře,MONTH(Ne1Bře+10)=3),Ne1Bře+10,""),IF(AND(YEAR(Ne1Bře+17)=RokKalendáře,MONTH(Ne1Bře+17)=3),Ne1Bře+17,""))</f>
        <v>43537</v>
      </c>
      <c r="X28" s="44">
        <f ca="1">IF(DAY(Ne1Bře)=1,IF(AND(YEAR(Ne1Bře+11)=RokKalendáře,MONTH(Ne1Bře+11)=3),Ne1Bře+11,""),IF(AND(YEAR(Ne1Bře+18)=RokKalendáře,MONTH(Ne1Bře+18)=3),Ne1Bře+18,""))</f>
        <v>43538</v>
      </c>
      <c r="Y28" s="44">
        <f ca="1">IF(DAY(Ne1Bře)=1,IF(AND(YEAR(Ne1Bře+12)=RokKalendáře,MONTH(Ne1Bře+12)=3),Ne1Bře+12,""),IF(AND(YEAR(Ne1Bře+19)=RokKalendáře,MONTH(Ne1Bře+19)=3),Ne1Bře+19,""))</f>
        <v>43539</v>
      </c>
      <c r="Z28" s="44">
        <f ca="1">IF(DAY(Ne1Bře)=1,IF(AND(YEAR(Ne1Bře+13)=RokKalendáře,MONTH(Ne1Bře+13)=3),Ne1Bře+13,""),IF(AND(YEAR(Ne1Bře+20)=RokKalendáře,MONTH(Ne1Bře+20)=3),Ne1Bře+20,""))</f>
        <v>43540</v>
      </c>
      <c r="AA28" s="44">
        <f ca="1">IF(DAY(Ne1Bře)=1,IF(AND(YEAR(Ne1Bře+14)=RokKalendáře,MONTH(Ne1Bře+14)=3),Ne1Bře+14,""),IF(AND(YEAR(Ne1Bře+21)=RokKalendáře,MONTH(Ne1Bře+21)=3),Ne1Bře+21,""))</f>
        <v>43541</v>
      </c>
      <c r="AB28" s="36"/>
      <c r="AC28" s="35"/>
      <c r="AD28" s="44">
        <f ca="1">IF(DAY(Ne1Dub)=1,IF(AND(YEAR(Ne1Dub+8)=RokKalendáře,MONTH(Ne1Dub+8)=4),Ne1Dub+8,""),IF(AND(YEAR(Ne1Dub+15)=RokKalendáře,MONTH(Ne1Dub+15)=4),Ne1Dub+15,""))</f>
        <v>43570</v>
      </c>
      <c r="AE28" s="44">
        <f ca="1">IF(DAY(Ne1Dub)=1,IF(AND(YEAR(Ne1Dub+9)=RokKalendáře,MONTH(Ne1Dub+9)=4),Ne1Dub+9,""),IF(AND(YEAR(Ne1Dub+16)=RokKalendáře,MONTH(Ne1Dub+16)=4),Ne1Dub+16,""))</f>
        <v>43571</v>
      </c>
      <c r="AF28" s="44">
        <f ca="1">IF(DAY(Ne1Dub)=1,IF(AND(YEAR(Ne1Dub+10)=RokKalendáře,MONTH(Ne1Dub+10)=4),Ne1Dub+10,""),IF(AND(YEAR(Ne1Dub+17)=RokKalendáře,MONTH(Ne1Dub+17)=4),Ne1Dub+17,""))</f>
        <v>43572</v>
      </c>
      <c r="AG28" s="44">
        <f ca="1">IF(DAY(Ne1Dub)=1,IF(AND(YEAR(Ne1Dub+11)=RokKalendáře,MONTH(Ne1Dub+11)=4),Ne1Dub+11,""),IF(AND(YEAR(Ne1Dub+18)=RokKalendáře,MONTH(Ne1Dub+18)=4),Ne1Dub+18,""))</f>
        <v>43573</v>
      </c>
      <c r="AH28" s="44">
        <f ca="1">IF(DAY(Ne1Dub)=1,IF(AND(YEAR(Ne1Dub+12)=RokKalendáře,MONTH(Ne1Dub+12)=4),Ne1Dub+12,""),IF(AND(YEAR(Ne1Dub+19)=RokKalendáře,MONTH(Ne1Dub+19)=4),Ne1Dub+19,""))</f>
        <v>43574</v>
      </c>
      <c r="AI28" s="44">
        <f ca="1">IF(DAY(Ne1Dub)=1,IF(AND(YEAR(Ne1Dub+13)=RokKalendáře,MONTH(Ne1Dub+13)=4),Ne1Dub+13,""),IF(AND(YEAR(Ne1Dub+20)=RokKalendáře,MONTH(Ne1Dub+20)=4),Ne1Dub+20,""))</f>
        <v>43575</v>
      </c>
      <c r="AJ28" s="44">
        <f ca="1">IF(DAY(Ne1Dub)=1,IF(AND(YEAR(Ne1Dub+14)=RokKalendáře,MONTH(Ne1Dub+14)=4),Ne1Dub+14,""),IF(AND(YEAR(Ne1Dub+21)=RokKalendáře,MONTH(Ne1Dub+21)=4),Ne1Dub+21,""))</f>
        <v>43576</v>
      </c>
    </row>
    <row r="29" spans="1:37" x14ac:dyDescent="0.2">
      <c r="C29" s="44">
        <f ca="1">IF(DAY(Ne1Led)=1,IF(AND(YEAR(Ne1Led+15)=RokKalendáře,MONTH(Ne1Led+15)=1),Ne1Led+15,""),IF(AND(YEAR(Ne1Led+22)=RokKalendáře,MONTH(Ne1Led+22)=1),Ne1Led+22,""))</f>
        <v>43486</v>
      </c>
      <c r="D29" s="44">
        <f ca="1">IF(DAY(Ne1Led)=1,IF(AND(YEAR(Ne1Led+16)=RokKalendáře,MONTH(Ne1Led+16)=1),Ne1Led+16,""),IF(AND(YEAR(Ne1Led+23)=RokKalendáře,MONTH(Ne1Led+23)=1),Ne1Led+23,""))</f>
        <v>43487</v>
      </c>
      <c r="E29" s="44">
        <f ca="1">IF(DAY(Ne1Led)=1,IF(AND(YEAR(Ne1Led+17)=RokKalendáře,MONTH(Ne1Led+17)=1),Ne1Led+17,""),IF(AND(YEAR(Ne1Led+24)=RokKalendáře,MONTH(Ne1Led+24)=1),Ne1Led+24,""))</f>
        <v>43488</v>
      </c>
      <c r="F29" s="44">
        <f ca="1">IF(DAY(Ne1Led)=1,IF(AND(YEAR(Ne1Led+18)=RokKalendáře,MONTH(Ne1Led+18)=1),Ne1Led+18,""),IF(AND(YEAR(Ne1Led+25)=RokKalendáře,MONTH(Ne1Led+25)=1),Ne1Led+25,""))</f>
        <v>43489</v>
      </c>
      <c r="G29" s="44">
        <f ca="1">IF(DAY(Ne1Led)=1,IF(AND(YEAR(Ne1Led+19)=RokKalendáře,MONTH(Ne1Led+19)=1),Ne1Led+19,""),IF(AND(YEAR(Ne1Led+26)=RokKalendáře,MONTH(Ne1Led+26)=1),Ne1Led+26,""))</f>
        <v>43490</v>
      </c>
      <c r="H29" s="44">
        <f ca="1">IF(DAY(Ne1Led)=1,IF(AND(YEAR(Ne1Led+20)=RokKalendáře,MONTH(Ne1Led+20)=1),Ne1Led+20,""),IF(AND(YEAR(Ne1Led+27)=RokKalendáře,MONTH(Ne1Led+27)=1),Ne1Led+27,""))</f>
        <v>43491</v>
      </c>
      <c r="I29" s="44">
        <f ca="1">IF(DAY(Ne1Led)=1,IF(AND(YEAR(Ne1Led+21)=RokKalendáře,MONTH(Ne1Led+21)=1),Ne1Led+21,""),IF(AND(YEAR(Ne1Led+28)=RokKalendáře,MONTH(Ne1Led+28)=1),Ne1Led+28,""))</f>
        <v>43492</v>
      </c>
      <c r="J29" s="36"/>
      <c r="K29" s="35"/>
      <c r="L29" s="44">
        <f ca="1">IF(DAY(Ne1Úno)=1,IF(AND(YEAR(Ne1Úno+15)=RokKalendáře,MONTH(Ne1Úno+15)=2),Ne1Úno+15,""),IF(AND(YEAR(Ne1Úno+22)=RokKalendáře,MONTH(Ne1Úno+22)=2),Ne1Úno+22,""))</f>
        <v>43514</v>
      </c>
      <c r="M29" s="44">
        <f ca="1">IF(DAY(Ne1Úno)=1,IF(AND(YEAR(Ne1Úno+16)=RokKalendáře,MONTH(Ne1Úno+16)=2),Ne1Úno+16,""),IF(AND(YEAR(Ne1Úno+23)=RokKalendáře,MONTH(Ne1Úno+23)=2),Ne1Úno+23,""))</f>
        <v>43515</v>
      </c>
      <c r="N29" s="44">
        <f ca="1">IF(DAY(Ne1Úno)=1,IF(AND(YEAR(Ne1Úno+17)=RokKalendáře,MONTH(Ne1Úno+17)=2),Ne1Úno+17,""),IF(AND(YEAR(Ne1Úno+24)=RokKalendáře,MONTH(Ne1Úno+24)=2),Ne1Úno+24,""))</f>
        <v>43516</v>
      </c>
      <c r="O29" s="44">
        <f ca="1">IF(DAY(Ne1Úno)=1,IF(AND(YEAR(Ne1Úno+18)=RokKalendáře,MONTH(Ne1Úno+18)=2),Ne1Úno+18,""),IF(AND(YEAR(Ne1Úno+25)=RokKalendáře,MONTH(Ne1Úno+25)=2),Ne1Úno+25,""))</f>
        <v>43517</v>
      </c>
      <c r="P29" s="44">
        <f ca="1">IF(DAY(Ne1Úno)=1,IF(AND(YEAR(Ne1Úno+19)=RokKalendáře,MONTH(Ne1Úno+19)=2),Ne1Úno+19,""),IF(AND(YEAR(Ne1Úno+26)=RokKalendáře,MONTH(Ne1Úno+26)=2),Ne1Úno+26,""))</f>
        <v>43518</v>
      </c>
      <c r="Q29" s="44">
        <f ca="1">IF(DAY(Ne1Úno)=1,IF(AND(YEAR(Ne1Úno+20)=RokKalendáře,MONTH(Ne1Úno+20)=2),Ne1Úno+20,""),IF(AND(YEAR(Ne1Úno+27)=RokKalendáře,MONTH(Ne1Úno+27)=2),Ne1Úno+27,""))</f>
        <v>43519</v>
      </c>
      <c r="R29" s="44">
        <f ca="1">IF(DAY(Ne1Úno)=1,IF(AND(YEAR(Ne1Úno+21)=RokKalendáře,MONTH(Ne1Úno+21)=2),Ne1Úno+21,""),IF(AND(YEAR(Ne1Úno+28)=RokKalendáře,MONTH(Ne1Úno+28)=2),Ne1Úno+28,""))</f>
        <v>43520</v>
      </c>
      <c r="S29" s="36"/>
      <c r="T29" s="40"/>
      <c r="U29" s="44">
        <f ca="1">IF(DAY(Ne1Bře)=1,IF(AND(YEAR(Ne1Bře+15)=RokKalendáře,MONTH(Ne1Bře+15)=3),Ne1Bře+15,""),IF(AND(YEAR(Ne1Bře+22)=RokKalendáře,MONTH(Ne1Bře+22)=3),Ne1Bře+22,""))</f>
        <v>43542</v>
      </c>
      <c r="V29" s="44">
        <f ca="1">IF(DAY(Ne1Bře)=1,IF(AND(YEAR(Ne1Bře+16)=RokKalendáře,MONTH(Ne1Bře+16)=3),Ne1Bře+16,""),IF(AND(YEAR(Ne1Bře+23)=RokKalendáře,MONTH(Ne1Bře+23)=3),Ne1Bře+23,""))</f>
        <v>43543</v>
      </c>
      <c r="W29" s="44">
        <f ca="1">IF(DAY(Ne1Bře)=1,IF(AND(YEAR(Ne1Bře+17)=RokKalendáře,MONTH(Ne1Bře+17)=3),Ne1Bře+17,""),IF(AND(YEAR(Ne1Bře+24)=RokKalendáře,MONTH(Ne1Bře+24)=3),Ne1Bře+24,""))</f>
        <v>43544</v>
      </c>
      <c r="X29" s="44">
        <f ca="1">IF(DAY(Ne1Bře)=1,IF(AND(YEAR(Ne1Bře+18)=RokKalendáře,MONTH(Ne1Bře+18)=3),Ne1Bře+18,""),IF(AND(YEAR(Ne1Bře+25)=RokKalendáře,MONTH(Ne1Bře+25)=3),Ne1Bře+25,""))</f>
        <v>43545</v>
      </c>
      <c r="Y29" s="44">
        <f ca="1">IF(DAY(Ne1Bře)=1,IF(AND(YEAR(Ne1Bře+19)=RokKalendáře,MONTH(Ne1Bře+19)=3),Ne1Bře+19,""),IF(AND(YEAR(Ne1Bře+26)=RokKalendáře,MONTH(Ne1Bře+26)=3),Ne1Bře+26,""))</f>
        <v>43546</v>
      </c>
      <c r="Z29" s="44">
        <f ca="1">IF(DAY(Ne1Bře)=1,IF(AND(YEAR(Ne1Bře+20)=RokKalendáře,MONTH(Ne1Bře+20)=3),Ne1Bře+20,""),IF(AND(YEAR(Ne1Bře+27)=RokKalendáře,MONTH(Ne1Bře+27)=3),Ne1Bře+27,""))</f>
        <v>43547</v>
      </c>
      <c r="AA29" s="44">
        <f ca="1">IF(DAY(Ne1Bře)=1,IF(AND(YEAR(Ne1Bře+21)=RokKalendáře,MONTH(Ne1Bře+21)=3),Ne1Bře+21,""),IF(AND(YEAR(Ne1Bře+28)=RokKalendáře,MONTH(Ne1Bře+28)=3),Ne1Bře+28,""))</f>
        <v>43548</v>
      </c>
      <c r="AB29" s="36"/>
      <c r="AC29" s="35"/>
      <c r="AD29" s="44">
        <f ca="1">IF(DAY(Ne1Dub)=1,IF(AND(YEAR(Ne1Dub+15)=RokKalendáře,MONTH(Ne1Dub+15)=4),Ne1Dub+15,""),IF(AND(YEAR(Ne1Dub+22)=RokKalendáře,MONTH(Ne1Dub+22)=4),Ne1Dub+22,""))</f>
        <v>43577</v>
      </c>
      <c r="AE29" s="44">
        <f ca="1">IF(DAY(Ne1Dub)=1,IF(AND(YEAR(Ne1Dub+16)=RokKalendáře,MONTH(Ne1Dub+16)=4),Ne1Dub+16,""),IF(AND(YEAR(Ne1Dub+23)=RokKalendáře,MONTH(Ne1Dub+23)=4),Ne1Dub+23,""))</f>
        <v>43578</v>
      </c>
      <c r="AF29" s="44">
        <f ca="1">IF(DAY(Ne1Dub)=1,IF(AND(YEAR(Ne1Dub+17)=RokKalendáře,MONTH(Ne1Dub+17)=4),Ne1Dub+17,""),IF(AND(YEAR(Ne1Dub+24)=RokKalendáře,MONTH(Ne1Dub+24)=4),Ne1Dub+24,""))</f>
        <v>43579</v>
      </c>
      <c r="AG29" s="44">
        <f ca="1">IF(DAY(Ne1Dub)=1,IF(AND(YEAR(Ne1Dub+18)=RokKalendáře,MONTH(Ne1Dub+18)=4),Ne1Dub+18,""),IF(AND(YEAR(Ne1Dub+25)=RokKalendáře,MONTH(Ne1Dub+25)=4),Ne1Dub+25,""))</f>
        <v>43580</v>
      </c>
      <c r="AH29" s="44">
        <f ca="1">IF(DAY(Ne1Dub)=1,IF(AND(YEAR(Ne1Dub+19)=RokKalendáře,MONTH(Ne1Dub+19)=4),Ne1Dub+19,""),IF(AND(YEAR(Ne1Dub+26)=RokKalendáře,MONTH(Ne1Dub+26)=4),Ne1Dub+26,""))</f>
        <v>43581</v>
      </c>
      <c r="AI29" s="44">
        <f ca="1">IF(DAY(Ne1Dub)=1,IF(AND(YEAR(Ne1Dub+20)=RokKalendáře,MONTH(Ne1Dub+20)=4),Ne1Dub+20,""),IF(AND(YEAR(Ne1Dub+27)=RokKalendáře,MONTH(Ne1Dub+27)=4),Ne1Dub+27,""))</f>
        <v>43582</v>
      </c>
      <c r="AJ29" s="44">
        <f ca="1">IF(DAY(Ne1Dub)=1,IF(AND(YEAR(Ne1Dub+21)=RokKalendáře,MONTH(Ne1Dub+21)=4),Ne1Dub+21,""),IF(AND(YEAR(Ne1Dub+28)=RokKalendáře,MONTH(Ne1Dub+28)=4),Ne1Dub+28,""))</f>
        <v>43583</v>
      </c>
    </row>
    <row r="30" spans="1:37" x14ac:dyDescent="0.2">
      <c r="C30" s="44">
        <f ca="1">IF(DAY(Ne1Led)=1,IF(AND(YEAR(Ne1Led+22)=RokKalendáře,MONTH(Ne1Led+22)=1),Ne1Led+22,""),IF(AND(YEAR(Ne1Led+29)=RokKalendáře,MONTH(Ne1Led+29)=1),Ne1Led+29,""))</f>
        <v>43493</v>
      </c>
      <c r="D30" s="44">
        <f ca="1">IF(DAY(Ne1Led)=1,IF(AND(YEAR(Ne1Led+23)=RokKalendáře,MONTH(Ne1Led+23)=1),Ne1Led+23,""),IF(AND(YEAR(Ne1Led+30)=RokKalendáře,MONTH(Ne1Led+30)=1),Ne1Led+30,""))</f>
        <v>43494</v>
      </c>
      <c r="E30" s="44">
        <f ca="1">IF(DAY(Ne1Led)=1,IF(AND(YEAR(Ne1Led+24)=RokKalendáře,MONTH(Ne1Led+24)=1),Ne1Led+24,""),IF(AND(YEAR(Ne1Led+31)=RokKalendáře,MONTH(Ne1Led+31)=1),Ne1Led+31,""))</f>
        <v>43495</v>
      </c>
      <c r="F30" s="44">
        <f ca="1">IF(DAY(Ne1Led)=1,IF(AND(YEAR(Ne1Led+25)=RokKalendáře,MONTH(Ne1Led+25)=1),Ne1Led+25,""),IF(AND(YEAR(Ne1Led+32)=RokKalendáře,MONTH(Ne1Led+32)=1),Ne1Led+32,""))</f>
        <v>43496</v>
      </c>
      <c r="G30" s="44" t="str">
        <f ca="1">IF(DAY(Ne1Led)=1,IF(AND(YEAR(Ne1Led+26)=RokKalendáře,MONTH(Ne1Led+26)=1),Ne1Led+26,""),IF(AND(YEAR(Ne1Led+33)=RokKalendáře,MONTH(Ne1Led+33)=1),Ne1Led+33,""))</f>
        <v/>
      </c>
      <c r="H30" s="44" t="str">
        <f ca="1">IF(DAY(Ne1Led)=1,IF(AND(YEAR(Ne1Led+27)=RokKalendáře,MONTH(Ne1Led+27)=1),Ne1Led+27,""),IF(AND(YEAR(Ne1Led+34)=RokKalendáře,MONTH(Ne1Led+34)=1),Ne1Led+34,""))</f>
        <v/>
      </c>
      <c r="I30" s="44" t="str">
        <f ca="1">IF(DAY(Ne1Led)=1,IF(AND(YEAR(Ne1Led+28)=RokKalendáře,MONTH(Ne1Led+28)=1),Ne1Led+28,""),IF(AND(YEAR(Ne1Led+35)=RokKalendáře,MONTH(Ne1Led+35)=1),Ne1Led+35,""))</f>
        <v/>
      </c>
      <c r="J30" s="36"/>
      <c r="K30" s="35"/>
      <c r="L30" s="44">
        <f ca="1">IF(DAY(Ne1Úno)=1,IF(AND(YEAR(Ne1Úno+22)=RokKalendáře,MONTH(Ne1Úno+22)=2),Ne1Úno+22,""),IF(AND(YEAR(Ne1Úno+29)=RokKalendáře,MONTH(Ne1Úno+29)=2),Ne1Úno+29,""))</f>
        <v>43521</v>
      </c>
      <c r="M30" s="44">
        <f ca="1">IF(DAY(Ne1Úno)=1,IF(AND(YEAR(Ne1Úno+23)=RokKalendáře,MONTH(Ne1Úno+23)=2),Ne1Úno+23,""),IF(AND(YEAR(Ne1Úno+30)=RokKalendáře,MONTH(Ne1Úno+30)=2),Ne1Úno+30,""))</f>
        <v>43522</v>
      </c>
      <c r="N30" s="44">
        <f ca="1">IF(DAY(Ne1Úno)=1,IF(AND(YEAR(Ne1Úno+24)=RokKalendáře,MONTH(Ne1Úno+24)=2),Ne1Úno+24,""),IF(AND(YEAR(Ne1Úno+31)=RokKalendáře,MONTH(Ne1Úno+31)=2),Ne1Úno+31,""))</f>
        <v>43523</v>
      </c>
      <c r="O30" s="44">
        <f ca="1">IF(DAY(Ne1Úno)=1,IF(AND(YEAR(Ne1Úno+25)=RokKalendáře,MONTH(Ne1Úno+25)=2),Ne1Úno+25,""),IF(AND(YEAR(Ne1Úno+32)=RokKalendáře,MONTH(Ne1Úno+32)=2),Ne1Úno+32,""))</f>
        <v>43524</v>
      </c>
      <c r="P30" s="44" t="str">
        <f ca="1">IF(DAY(Ne1Úno)=1,IF(AND(YEAR(Ne1Úno+26)=RokKalendáře,MONTH(Ne1Úno+26)=2),Ne1Úno+26,""),IF(AND(YEAR(Ne1Úno+33)=RokKalendáře,MONTH(Ne1Úno+33)=2),Ne1Úno+33,""))</f>
        <v/>
      </c>
      <c r="Q30" s="44" t="str">
        <f ca="1">IF(DAY(Ne1Úno)=1,IF(AND(YEAR(Ne1Úno+27)=RokKalendáře,MONTH(Ne1Úno+27)=2),Ne1Úno+27,""),IF(AND(YEAR(Ne1Úno+34)=RokKalendáře,MONTH(Ne1Úno+34)=2),Ne1Úno+34,""))</f>
        <v/>
      </c>
      <c r="R30" s="44" t="str">
        <f ca="1">IF(DAY(Ne1Úno)=1,IF(AND(YEAR(Ne1Úno+28)=RokKalendáře,MONTH(Ne1Úno+28)=2),Ne1Úno+28,""),IF(AND(YEAR(Ne1Úno+35)=RokKalendáře,MONTH(Ne1Úno+35)=2),Ne1Úno+35,""))</f>
        <v/>
      </c>
      <c r="S30" s="36"/>
      <c r="T30" s="40"/>
      <c r="U30" s="44">
        <f ca="1">IF(DAY(Ne1Bře)=1,IF(AND(YEAR(Ne1Bře+22)=RokKalendáře,MONTH(Ne1Bře+22)=3),Ne1Bře+22,""),IF(AND(YEAR(Ne1Bře+29)=RokKalendáře,MONTH(Ne1Bře+29)=3),Ne1Bře+29,""))</f>
        <v>43549</v>
      </c>
      <c r="V30" s="44">
        <f ca="1">IF(DAY(Ne1Bře)=1,IF(AND(YEAR(Ne1Bře+23)=RokKalendáře,MONTH(Ne1Bře+23)=3),Ne1Bře+23,""),IF(AND(YEAR(Ne1Bře+30)=RokKalendáře,MONTH(Ne1Bře+30)=3),Ne1Bře+30,""))</f>
        <v>43550</v>
      </c>
      <c r="W30" s="44">
        <f ca="1">IF(DAY(Ne1Bře)=1,IF(AND(YEAR(Ne1Bře+24)=RokKalendáře,MONTH(Ne1Bře+24)=3),Ne1Bře+24,""),IF(AND(YEAR(Ne1Bře+31)=RokKalendáře,MONTH(Ne1Bře+31)=3),Ne1Bře+31,""))</f>
        <v>43551</v>
      </c>
      <c r="X30" s="44">
        <f ca="1">IF(DAY(Ne1Bře)=1,IF(AND(YEAR(Ne1Bře+25)=RokKalendáře,MONTH(Ne1Bře+25)=3),Ne1Bře+25,""),IF(AND(YEAR(Ne1Bře+32)=RokKalendáře,MONTH(Ne1Bře+32)=3),Ne1Bře+32,""))</f>
        <v>43552</v>
      </c>
      <c r="Y30" s="44">
        <f ca="1">IF(DAY(Ne1Bře)=1,IF(AND(YEAR(Ne1Bře+26)=RokKalendáře,MONTH(Ne1Bře+26)=3),Ne1Bře+26,""),IF(AND(YEAR(Ne1Bře+33)=RokKalendáře,MONTH(Ne1Bře+33)=3),Ne1Bře+33,""))</f>
        <v>43553</v>
      </c>
      <c r="Z30" s="44">
        <f ca="1">IF(DAY(Ne1Bře)=1,IF(AND(YEAR(Ne1Bře+27)=RokKalendáře,MONTH(Ne1Bře+27)=3),Ne1Bře+27,""),IF(AND(YEAR(Ne1Bře+34)=RokKalendáře,MONTH(Ne1Bře+34)=3),Ne1Bře+34,""))</f>
        <v>43554</v>
      </c>
      <c r="AA30" s="44">
        <f ca="1">IF(DAY(Ne1Bře)=1,IF(AND(YEAR(Ne1Bře+28)=RokKalendáře,MONTH(Ne1Bře+28)=3),Ne1Bře+28,""),IF(AND(YEAR(Ne1Bře+35)=RokKalendáře,MONTH(Ne1Bře+35)=3),Ne1Bře+35,""))</f>
        <v>43555</v>
      </c>
      <c r="AB30" s="36"/>
      <c r="AC30" s="35"/>
      <c r="AD30" s="44">
        <f ca="1">IF(DAY(Ne1Dub)=1,IF(AND(YEAR(Ne1Dub+22)=RokKalendáře,MONTH(Ne1Dub+22)=4),Ne1Dub+22,""),IF(AND(YEAR(Ne1Dub+29)=RokKalendáře,MONTH(Ne1Dub+29)=4),Ne1Dub+29,""))</f>
        <v>43584</v>
      </c>
      <c r="AE30" s="44">
        <f ca="1">IF(DAY(Ne1Dub)=1,IF(AND(YEAR(Ne1Dub+23)=RokKalendáře,MONTH(Ne1Dub+23)=4),Ne1Dub+23,""),IF(AND(YEAR(Ne1Dub+30)=RokKalendáře,MONTH(Ne1Dub+30)=4),Ne1Dub+30,""))</f>
        <v>43585</v>
      </c>
      <c r="AF30" s="44" t="str">
        <f ca="1">IF(DAY(Ne1Dub)=1,IF(AND(YEAR(Ne1Dub+24)=RokKalendáře,MONTH(Ne1Dub+24)=4),Ne1Dub+24,""),IF(AND(YEAR(Ne1Dub+31)=RokKalendáře,MONTH(Ne1Dub+31)=4),Ne1Dub+31,""))</f>
        <v/>
      </c>
      <c r="AG30" s="44" t="str">
        <f ca="1">IF(DAY(Ne1Dub)=1,IF(AND(YEAR(Ne1Dub+25)=RokKalendáře,MONTH(Ne1Dub+25)=4),Ne1Dub+25,""),IF(AND(YEAR(Ne1Dub+32)=RokKalendáře,MONTH(Ne1Dub+32)=4),Ne1Dub+32,""))</f>
        <v/>
      </c>
      <c r="AH30" s="44" t="str">
        <f ca="1">IF(DAY(Ne1Dub)=1,IF(AND(YEAR(Ne1Dub+26)=RokKalendáře,MONTH(Ne1Dub+26)=4),Ne1Dub+26,""),IF(AND(YEAR(Ne1Dub+33)=RokKalendáře,MONTH(Ne1Dub+33)=4),Ne1Dub+33,""))</f>
        <v/>
      </c>
      <c r="AI30" s="44" t="str">
        <f ca="1">IF(DAY(Ne1Dub)=1,IF(AND(YEAR(Ne1Dub+27)=RokKalendáře,MONTH(Ne1Dub+27)=4),Ne1Dub+27,""),IF(AND(YEAR(Ne1Dub+34)=RokKalendáře,MONTH(Ne1Dub+34)=4),Ne1Dub+34,""))</f>
        <v/>
      </c>
      <c r="AJ30" s="44" t="str">
        <f ca="1">IF(DAY(Ne1Dub)=1,IF(AND(YEAR(Ne1Dub+28)=RokKalendáře,MONTH(Ne1Dub+28)=4),Ne1Dub+28,""),IF(AND(YEAR(Ne1Dub+35)=RokKalendáře,MONTH(Ne1Dub+35)=4),Ne1Dub+35,""))</f>
        <v/>
      </c>
    </row>
    <row r="31" spans="1:37" x14ac:dyDescent="0.2">
      <c r="C31" s="44" t="str">
        <f ca="1">IF(DAY(Ne1Led)=1,IF(AND(YEAR(Ne1Led+29)=RokKalendáře,MONTH(Ne1Led+29)=1),Ne1Led+29,""),IF(AND(YEAR(Ne1Led+36)=RokKalendáře,MONTH(Ne1Led+36)=1),Ne1Led+36,""))</f>
        <v/>
      </c>
      <c r="D31" s="44" t="str">
        <f ca="1">IF(DAY(Ne1Led)=1,IF(AND(YEAR(Ne1Led+30)=RokKalendáře,MONTH(Ne1Led+30)=1),Ne1Led+30,""),IF(AND(YEAR(Ne1Led+37)=RokKalendáře,MONTH(Ne1Led+37)=1),Ne1Led+37,""))</f>
        <v/>
      </c>
      <c r="E31" s="44" t="str">
        <f ca="1">IF(DAY(Ne1Led)=1,IF(AND(YEAR(Ne1Led+31)=RokKalendáře,MONTH(Ne1Led+31)=1),Ne1Led+31,""),IF(AND(YEAR(Ne1Led+38)=RokKalendáře,MONTH(Ne1Led+38)=1),Ne1Led+38,""))</f>
        <v/>
      </c>
      <c r="F31" s="44" t="str">
        <f ca="1">IF(DAY(Ne1Led)=1,IF(AND(YEAR(Ne1Led+32)=RokKalendáře,MONTH(Ne1Led+32)=1),Ne1Led+32,""),IF(AND(YEAR(Ne1Led+39)=RokKalendáře,MONTH(Ne1Led+39)=1),Ne1Led+39,""))</f>
        <v/>
      </c>
      <c r="G31" s="44" t="str">
        <f ca="1">IF(DAY(Ne1Led)=1,IF(AND(YEAR(Ne1Led+33)=RokKalendáře,MONTH(Ne1Led+33)=1),Ne1Led+33,""),IF(AND(YEAR(Ne1Led+40)=RokKalendáře,MONTH(Ne1Led+40)=1),Ne1Led+40,""))</f>
        <v/>
      </c>
      <c r="H31" s="44" t="str">
        <f ca="1">IF(DAY(Ne1Led)=1,IF(AND(YEAR(Ne1Led+34)=RokKalendáře,MONTH(Ne1Led+34)=1),Ne1Led+34,""),IF(AND(YEAR(Ne1Led+41)=RokKalendáře,MONTH(Ne1Led+41)=1),Ne1Led+41,""))</f>
        <v/>
      </c>
      <c r="I31" s="44" t="str">
        <f ca="1">IF(DAY(Ne1Led)=1,IF(AND(YEAR(Ne1Led+35)=RokKalendáře,MONTH(Ne1Led+35)=1),Ne1Led+35,""),IF(AND(YEAR(Ne1Led+42)=RokKalendáře,MONTH(Ne1Led+42)=1),Ne1Led+42,""))</f>
        <v/>
      </c>
      <c r="J31" s="36"/>
      <c r="K31" s="35"/>
      <c r="L31" s="44" t="str">
        <f ca="1">IF(DAY(Ne1Úno)=1,IF(AND(YEAR(Ne1Úno+29)=RokKalendáře,MONTH(Ne1Úno+29)=2),Ne1Úno+29,""),IF(AND(YEAR(Ne1Úno+36)=RokKalendáře,MONTH(Ne1Úno+36)=2),Ne1Úno+36,""))</f>
        <v/>
      </c>
      <c r="M31" s="44" t="str">
        <f ca="1">IF(DAY(Ne1Úno)=1,IF(AND(YEAR(Ne1Úno+30)=RokKalendáře,MONTH(Ne1Úno+30)=2),Ne1Úno+30,""),IF(AND(YEAR(Ne1Úno+37)=RokKalendáře,MONTH(Ne1Úno+37)=2),Ne1Úno+37,""))</f>
        <v/>
      </c>
      <c r="N31" s="44" t="str">
        <f ca="1">IF(DAY(Ne1Úno)=1,IF(AND(YEAR(Ne1Úno+31)=RokKalendáře,MONTH(Ne1Úno+31)=2),Ne1Úno+31,""),IF(AND(YEAR(Ne1Úno+38)=RokKalendáře,MONTH(Ne1Úno+38)=2),Ne1Úno+38,""))</f>
        <v/>
      </c>
      <c r="O31" s="44" t="str">
        <f ca="1">IF(DAY(Ne1Úno)=1,IF(AND(YEAR(Ne1Úno+32)=RokKalendáře,MONTH(Ne1Úno+32)=2),Ne1Úno+32,""),IF(AND(YEAR(Ne1Úno+39)=RokKalendáře,MONTH(Ne1Úno+39)=2),Ne1Úno+39,""))</f>
        <v/>
      </c>
      <c r="P31" s="44" t="str">
        <f ca="1">IF(DAY(Ne1Úno)=1,IF(AND(YEAR(Ne1Úno+33)=RokKalendáře,MONTH(Ne1Úno+33)=2),Ne1Úno+33,""),IF(AND(YEAR(Ne1Úno+40)=RokKalendáře,MONTH(Ne1Úno+40)=2),Ne1Úno+40,""))</f>
        <v/>
      </c>
      <c r="Q31" s="44" t="str">
        <f ca="1">IF(DAY(Ne1Úno)=1,IF(AND(YEAR(Ne1Úno+34)=RokKalendáře,MONTH(Ne1Úno+34)=2),Ne1Úno+34,""),IF(AND(YEAR(Ne1Úno+41)=RokKalendáře,MONTH(Ne1Úno+41)=2),Ne1Úno+41,""))</f>
        <v/>
      </c>
      <c r="R31" s="44" t="str">
        <f ca="1">IF(DAY(Ne1Úno)=1,IF(AND(YEAR(Ne1Úno+35)=RokKalendáře,MONTH(Ne1Úno+35)=2),Ne1Úno+35,""),IF(AND(YEAR(Ne1Úno+42)=RokKalendáře,MONTH(Ne1Úno+42)=2),Ne1Úno+42,""))</f>
        <v/>
      </c>
      <c r="S31" s="36"/>
      <c r="T31" s="40"/>
      <c r="U31" s="44" t="str">
        <f ca="1">IF(DAY(Ne1Bře)=1,IF(AND(YEAR(Ne1Bře+29)=RokKalendáře,MONTH(Ne1Bře+29)=3),Ne1Bře+29,""),IF(AND(YEAR(Ne1Bře+36)=RokKalendáře,MONTH(Ne1Bře+36)=3),Ne1Bře+36,""))</f>
        <v/>
      </c>
      <c r="V31" s="44" t="str">
        <f ca="1">IF(DAY(Ne1Bře)=1,IF(AND(YEAR(Ne1Bře+30)=RokKalendáře,MONTH(Ne1Bře+30)=3),Ne1Bře+30,""),IF(AND(YEAR(Ne1Bře+37)=RokKalendáře,MONTH(Ne1Bře+37)=3),Ne1Bře+37,""))</f>
        <v/>
      </c>
      <c r="W31" s="44" t="str">
        <f ca="1">IF(DAY(Ne1Bře)=1,IF(AND(YEAR(Ne1Bře+31)=RokKalendáře,MONTH(Ne1Bře+31)=3),Ne1Bře+31,""),IF(AND(YEAR(Ne1Bře+38)=RokKalendáře,MONTH(Ne1Bře+38)=3),Ne1Bře+38,""))</f>
        <v/>
      </c>
      <c r="X31" s="44" t="str">
        <f ca="1">IF(DAY(Ne1Bře)=1,IF(AND(YEAR(Ne1Bře+32)=RokKalendáře,MONTH(Ne1Bře+32)=3),Ne1Bře+32,""),IF(AND(YEAR(Ne1Bře+39)=RokKalendáře,MONTH(Ne1Bře+39)=3),Ne1Bře+39,""))</f>
        <v/>
      </c>
      <c r="Y31" s="44" t="str">
        <f ca="1">IF(DAY(Ne1Bře)=1,IF(AND(YEAR(Ne1Bře+33)=RokKalendáře,MONTH(Ne1Bře+33)=3),Ne1Bře+33,""),IF(AND(YEAR(Ne1Bře+40)=RokKalendáře,MONTH(Ne1Bře+40)=3),Ne1Bře+40,""))</f>
        <v/>
      </c>
      <c r="Z31" s="44" t="str">
        <f ca="1">IF(DAY(Ne1Bře)=1,IF(AND(YEAR(Ne1Bře+34)=RokKalendáře,MONTH(Ne1Bře+34)=3),Ne1Bře+34,""),IF(AND(YEAR(Ne1Bře+41)=RokKalendáře,MONTH(Ne1Bře+41)=3),Ne1Bře+41,""))</f>
        <v/>
      </c>
      <c r="AA31" s="44" t="str">
        <f ca="1">IF(DAY(Ne1Bře)=1,IF(AND(YEAR(Ne1Bře+35)=RokKalendáře,MONTH(Ne1Bře+35)=3),Ne1Bře+35,""),IF(AND(YEAR(Ne1Bře+42)=RokKalendáře,MONTH(Ne1Bře+42)=3),Ne1Bře+42,""))</f>
        <v/>
      </c>
      <c r="AB31" s="36"/>
      <c r="AC31" s="35"/>
      <c r="AD31" s="44" t="str">
        <f ca="1">IF(DAY(Ne1Dub)=1,IF(AND(YEAR(Ne1Dub+29)=RokKalendáře,MONTH(Ne1Dub+29)=4),Ne1Dub+29,""),IF(AND(YEAR(Ne1Dub+36)=RokKalendáře,MONTH(Ne1Dub+36)=4),Ne1Dub+36,""))</f>
        <v/>
      </c>
      <c r="AE31" s="44" t="str">
        <f ca="1">IF(DAY(Ne1Dub)=1,IF(AND(YEAR(Ne1Dub+30)=RokKalendáře,MONTH(Ne1Dub+30)=4),Ne1Dub+30,""),IF(AND(YEAR(Ne1Dub+37)=RokKalendáře,MONTH(Ne1Dub+37)=4),Ne1Dub+37,""))</f>
        <v/>
      </c>
      <c r="AF31" s="44" t="str">
        <f ca="1">IF(DAY(Ne1Dub)=1,IF(AND(YEAR(Ne1Dub+31)=RokKalendáře,MONTH(Ne1Dub+31)=4),Ne1Dub+31,""),IF(AND(YEAR(Ne1Dub+38)=RokKalendáře,MONTH(Ne1Dub+38)=4),Ne1Dub+38,""))</f>
        <v/>
      </c>
      <c r="AG31" s="44" t="str">
        <f ca="1">IF(DAY(Ne1Dub)=1,IF(AND(YEAR(Ne1Dub+32)=RokKalendáře,MONTH(Ne1Dub+32)=4),Ne1Dub+32,""),IF(AND(YEAR(Ne1Dub+39)=RokKalendáře,MONTH(Ne1Dub+39)=4),Ne1Dub+39,""))</f>
        <v/>
      </c>
      <c r="AH31" s="44" t="str">
        <f ca="1">IF(DAY(Ne1Dub)=1,IF(AND(YEAR(Ne1Dub+33)=RokKalendáře,MONTH(Ne1Dub+33)=4),Ne1Dub+33,""),IF(AND(YEAR(Ne1Dub+40)=RokKalendáře,MONTH(Ne1Dub+40)=4),Ne1Dub+40,""))</f>
        <v/>
      </c>
      <c r="AI31" s="44" t="str">
        <f ca="1">IF(DAY(Ne1Dub)=1,IF(AND(YEAR(Ne1Dub+34)=RokKalendáře,MONTH(Ne1Dub+34)=4),Ne1Dub+34,""),IF(AND(YEAR(Ne1Dub+41)=RokKalendáře,MONTH(Ne1Dub+41)=4),Ne1Dub+41,""))</f>
        <v/>
      </c>
      <c r="AJ31" s="44" t="str">
        <f ca="1">IF(DAY(Ne1Dub)=1,IF(AND(YEAR(Ne1Dub+35)=RokKalendáře,MONTH(Ne1Dub+35)=4),Ne1Dub+35,""),IF(AND(YEAR(Ne1Dub+42)=RokKalendáře,MONTH(Ne1Dub+42)=4),Ne1Dub+42,""))</f>
        <v/>
      </c>
    </row>
    <row r="32" spans="1:37" ht="15" x14ac:dyDescent="0.2">
      <c r="A32" s="26" t="s">
        <v>12</v>
      </c>
      <c r="C32" s="35"/>
      <c r="D32" s="35"/>
      <c r="E32" s="35"/>
      <c r="F32" s="35"/>
      <c r="G32" s="35"/>
      <c r="H32" s="35"/>
      <c r="I32" s="35"/>
      <c r="J32" s="36"/>
      <c r="K32" s="35"/>
      <c r="L32" s="35"/>
      <c r="M32" s="35"/>
      <c r="N32" s="35"/>
      <c r="O32" s="35"/>
      <c r="P32" s="35"/>
      <c r="Q32" s="35"/>
      <c r="R32" s="35"/>
      <c r="S32" s="36"/>
      <c r="T32" s="40"/>
      <c r="U32" s="40"/>
      <c r="V32" s="40"/>
      <c r="W32" s="40"/>
      <c r="X32" s="40"/>
      <c r="Y32" s="40"/>
      <c r="Z32" s="40"/>
      <c r="AA32" s="40"/>
      <c r="AB32" s="41"/>
      <c r="AC32" s="40"/>
      <c r="AD32" s="40"/>
      <c r="AE32" s="40"/>
      <c r="AF32" s="40"/>
      <c r="AG32" s="40"/>
      <c r="AH32" s="40"/>
      <c r="AI32" s="40"/>
      <c r="AJ32" s="40"/>
    </row>
    <row r="33" spans="1:36" ht="15.75" x14ac:dyDescent="0.25">
      <c r="A33" s="26" t="s">
        <v>13</v>
      </c>
      <c r="C33" s="45">
        <f ca="1">DATE(RokKalendáře,5,1)</f>
        <v>43586</v>
      </c>
      <c r="D33" s="45"/>
      <c r="E33" s="45"/>
      <c r="F33" s="45"/>
      <c r="G33" s="45"/>
      <c r="H33" s="45"/>
      <c r="I33" s="45"/>
      <c r="J33" s="32"/>
      <c r="K33" s="35"/>
      <c r="L33" s="45">
        <f ca="1">DATE(RokKalendáře,6,1)</f>
        <v>43617</v>
      </c>
      <c r="M33" s="45"/>
      <c r="N33" s="45"/>
      <c r="O33" s="45"/>
      <c r="P33" s="45"/>
      <c r="Q33" s="45"/>
      <c r="R33" s="45"/>
      <c r="S33" s="32"/>
      <c r="T33" s="40"/>
      <c r="U33" s="45">
        <f ca="1">DATE(RokKalendáře,7,1)</f>
        <v>43647</v>
      </c>
      <c r="V33" s="45"/>
      <c r="W33" s="45"/>
      <c r="X33" s="45"/>
      <c r="Y33" s="45"/>
      <c r="Z33" s="45"/>
      <c r="AA33" s="45"/>
      <c r="AB33" s="32"/>
      <c r="AC33" s="35"/>
      <c r="AD33" s="45">
        <f ca="1">DATE(RokKalendáře,8,1)</f>
        <v>43678</v>
      </c>
      <c r="AE33" s="45"/>
      <c r="AF33" s="45"/>
      <c r="AG33" s="45"/>
      <c r="AH33" s="45"/>
      <c r="AI33" s="45"/>
      <c r="AJ33" s="45"/>
    </row>
    <row r="34" spans="1:36" ht="15" x14ac:dyDescent="0.25">
      <c r="A34" s="26" t="s">
        <v>14</v>
      </c>
      <c r="C34" s="21" t="s">
        <v>20</v>
      </c>
      <c r="D34" s="21" t="s">
        <v>23</v>
      </c>
      <c r="E34" s="21" t="s">
        <v>24</v>
      </c>
      <c r="F34" s="21" t="s">
        <v>25</v>
      </c>
      <c r="G34" s="21" t="s">
        <v>26</v>
      </c>
      <c r="H34" s="21" t="s">
        <v>29</v>
      </c>
      <c r="I34" s="21" t="s">
        <v>30</v>
      </c>
      <c r="J34" s="34"/>
      <c r="K34" s="37"/>
      <c r="L34" s="21" t="s">
        <v>20</v>
      </c>
      <c r="M34" s="21" t="s">
        <v>23</v>
      </c>
      <c r="N34" s="21" t="s">
        <v>24</v>
      </c>
      <c r="O34" s="21" t="s">
        <v>25</v>
      </c>
      <c r="P34" s="21" t="s">
        <v>26</v>
      </c>
      <c r="Q34" s="21" t="s">
        <v>29</v>
      </c>
      <c r="R34" s="21" t="s">
        <v>30</v>
      </c>
      <c r="S34" s="34"/>
      <c r="T34" s="40"/>
      <c r="U34" s="21" t="s">
        <v>20</v>
      </c>
      <c r="V34" s="21" t="s">
        <v>23</v>
      </c>
      <c r="W34" s="21" t="s">
        <v>24</v>
      </c>
      <c r="X34" s="21" t="s">
        <v>25</v>
      </c>
      <c r="Y34" s="21" t="s">
        <v>26</v>
      </c>
      <c r="Z34" s="21" t="s">
        <v>29</v>
      </c>
      <c r="AA34" s="21" t="s">
        <v>30</v>
      </c>
      <c r="AB34" s="34"/>
      <c r="AC34" s="35"/>
      <c r="AD34" s="21" t="s">
        <v>20</v>
      </c>
      <c r="AE34" s="21" t="s">
        <v>23</v>
      </c>
      <c r="AF34" s="21" t="s">
        <v>24</v>
      </c>
      <c r="AG34" s="21" t="s">
        <v>25</v>
      </c>
      <c r="AH34" s="21" t="s">
        <v>26</v>
      </c>
      <c r="AI34" s="21" t="s">
        <v>29</v>
      </c>
      <c r="AJ34" s="21" t="s">
        <v>30</v>
      </c>
    </row>
    <row r="35" spans="1:36" ht="15.75" x14ac:dyDescent="0.25">
      <c r="A35" s="26" t="s">
        <v>15</v>
      </c>
      <c r="C35" s="44" t="str">
        <f ca="1">IF(DAY(Ne1Kvě)=1,"",IF(AND(YEAR(Ne1Kvě+1)=RokKalendáře,MONTH(Ne1Kvě+1)=5),Ne1Kvě+1,""))</f>
        <v/>
      </c>
      <c r="D35" s="44" t="str">
        <f ca="1">IF(DAY(Ne1Kvě)=1,"",IF(AND(YEAR(Ne1Kvě+2)=RokKalendáře,MONTH(Ne1Kvě+2)=5),Ne1Kvě+2,""))</f>
        <v/>
      </c>
      <c r="E35" s="44">
        <f ca="1">IF(DAY(Ne1Kvě)=1,"",IF(AND(YEAR(Ne1Kvě+3)=RokKalendáře,MONTH(Ne1Kvě+3)=5),Ne1Kvě+3,""))</f>
        <v>43586</v>
      </c>
      <c r="F35" s="44">
        <f ca="1">IF(DAY(Ne1Kvě)=1,"",IF(AND(YEAR(Ne1Kvě+4)=RokKalendáře,MONTH(Ne1Kvě+4)=5),Ne1Kvě+4,""))</f>
        <v>43587</v>
      </c>
      <c r="G35" s="44">
        <f ca="1">IF(DAY(Ne1Kvě)=1,"",IF(AND(YEAR(Ne1Kvě+5)=RokKalendáře,MONTH(Ne1Kvě+5)=5),Ne1Kvě+5,""))</f>
        <v>43588</v>
      </c>
      <c r="H35" s="44">
        <f ca="1">IF(DAY(Ne1Kvě)=1,"",IF(AND(YEAR(Ne1Kvě+6)=RokKalendáře,MONTH(Ne1Kvě+6)=5),Ne1Kvě+6,""))</f>
        <v>43589</v>
      </c>
      <c r="I35" s="44">
        <f ca="1">IF(DAY(Ne1Kvě)=1,IF(AND(YEAR(Ne1Kvě)=RokKalendáře,MONTH(Ne1Kvě)=5),Ne1Kvě,""),IF(AND(YEAR(Ne1Kvě+7)=RokKalendáře,MONTH(Ne1Kvě+7)=5),Ne1Kvě+7,""))</f>
        <v>43590</v>
      </c>
      <c r="J35" s="36"/>
      <c r="K35" s="33"/>
      <c r="L35" s="44" t="str">
        <f ca="1">IF(DAY(Ne1Čer)=1,"",IF(AND(YEAR(Ne1Čer+1)=RokKalendáře,MONTH(Ne1Čer+1)=6),Ne1Čer+1,""))</f>
        <v/>
      </c>
      <c r="M35" s="44" t="str">
        <f ca="1">IF(DAY(Ne1Čer)=1,"",IF(AND(YEAR(Ne1Čer+2)=RokKalendáře,MONTH(Ne1Čer+2)=6),Ne1Čer+2,""))</f>
        <v/>
      </c>
      <c r="N35" s="44" t="str">
        <f ca="1">IF(DAY(Ne1Čer)=1,"",IF(AND(YEAR(Ne1Čer+3)=RokKalendáře,MONTH(Ne1Čer+3)=6),Ne1Čer+3,""))</f>
        <v/>
      </c>
      <c r="O35" s="44" t="str">
        <f ca="1">IF(DAY(Ne1Čer)=1,"",IF(AND(YEAR(Ne1Čer+4)=RokKalendáře,MONTH(Ne1Čer+4)=6),Ne1Čer+4,""))</f>
        <v/>
      </c>
      <c r="P35" s="44" t="str">
        <f ca="1">IF(DAY(Ne1Čer)=1,"",IF(AND(YEAR(Ne1Čer+5)=RokKalendáře,MONTH(Ne1Čer+5)=6),Ne1Čer+5,""))</f>
        <v/>
      </c>
      <c r="Q35" s="44">
        <f ca="1">IF(DAY(Ne1Čer)=1,"",IF(AND(YEAR(Ne1Čer+6)=RokKalendáře,MONTH(Ne1Čer+6)=6),Ne1Čer+6,""))</f>
        <v>43617</v>
      </c>
      <c r="R35" s="44">
        <f ca="1">IF(DAY(Ne1Čer)=1,IF(AND(YEAR(Ne1Čer)=RokKalendáře,MONTH(Ne1Čer)=6),Ne1Čer,""),IF(AND(YEAR(Ne1Čer+7)=RokKalendáře,MONTH(Ne1Čer+7)=6),Ne1Čer+7,""))</f>
        <v>43618</v>
      </c>
      <c r="S35" s="36"/>
      <c r="T35" s="40"/>
      <c r="U35" s="44">
        <f ca="1">IF(DAY(Ne1Čvc)=1,"",IF(AND(YEAR(Ne1Čvc+1)=RokKalendáře,MONTH(Ne1Čvc+1)=7),Ne1Čvc+1,""))</f>
        <v>43647</v>
      </c>
      <c r="V35" s="44">
        <f ca="1">IF(DAY(Ne1Čvc)=1,"",IF(AND(YEAR(Ne1Čvc+2)=RokKalendáře,MONTH(Ne1Čvc+2)=7),Ne1Čvc+2,""))</f>
        <v>43648</v>
      </c>
      <c r="W35" s="44">
        <f ca="1">IF(DAY(Ne1Čvc)=1,"",IF(AND(YEAR(Ne1Čvc+3)=RokKalendáře,MONTH(Ne1Čvc+3)=7),Ne1Čvc+3,""))</f>
        <v>43649</v>
      </c>
      <c r="X35" s="44">
        <f ca="1">IF(DAY(Ne1Čvc)=1,"",IF(AND(YEAR(Ne1Čvc+4)=RokKalendáře,MONTH(Ne1Čvc+4)=7),Ne1Čvc+4,""))</f>
        <v>43650</v>
      </c>
      <c r="Y35" s="44">
        <f ca="1">IF(DAY(Ne1Čvc)=1,"",IF(AND(YEAR(Ne1Čvc+5)=RokKalendáře,MONTH(Ne1Čvc+5)=7),Ne1Čvc+5,""))</f>
        <v>43651</v>
      </c>
      <c r="Z35" s="44">
        <f ca="1">IF(DAY(Ne1Čvc)=1,"",IF(AND(YEAR(Ne1Čvc+6)=RokKalendáře,MONTH(Ne1Čvc+6)=7),Ne1Čvc+6,""))</f>
        <v>43652</v>
      </c>
      <c r="AA35" s="44">
        <f ca="1">IF(DAY(Ne1Čvc)=1,IF(AND(YEAR(Ne1Čvc)=RokKalendáře,MONTH(Ne1Čvc)=7),Ne1Čvc,""),IF(AND(YEAR(Ne1Čvc+7)=RokKalendáře,MONTH(Ne1Čvc+7)=7),Ne1Čvc+7,""))</f>
        <v>43653</v>
      </c>
      <c r="AB35" s="36"/>
      <c r="AC35" s="37"/>
      <c r="AD35" s="44" t="str">
        <f ca="1">IF(DAY(Ne1Srp)=1,"",IF(AND(YEAR(Ne1Srp+1)=RokKalendáře,MONTH(Ne1Srp+1)=8),Ne1Srp+1,""))</f>
        <v/>
      </c>
      <c r="AE35" s="44" t="str">
        <f ca="1">IF(DAY(Ne1Srp)=1,"",IF(AND(YEAR(Ne1Srp+2)=RokKalendáře,MONTH(Ne1Srp+2)=8),Ne1Srp+2,""))</f>
        <v/>
      </c>
      <c r="AF35" s="44" t="str">
        <f ca="1">IF(DAY(Ne1Srp)=1,"",IF(AND(YEAR(Ne1Srp+3)=RokKalendáře,MONTH(Ne1Srp+3)=8),Ne1Srp+3,""))</f>
        <v/>
      </c>
      <c r="AG35" s="44">
        <f ca="1">IF(DAY(Ne1Srp)=1,"",IF(AND(YEAR(Ne1Srp+4)=RokKalendáře,MONTH(Ne1Srp+4)=8),Ne1Srp+4,""))</f>
        <v>43678</v>
      </c>
      <c r="AH35" s="44">
        <f ca="1">IF(DAY(Ne1Srp)=1,"",IF(AND(YEAR(Ne1Srp+5)=RokKalendáře,MONTH(Ne1Srp+5)=8),Ne1Srp+5,""))</f>
        <v>43679</v>
      </c>
      <c r="AI35" s="44">
        <f ca="1">IF(DAY(Ne1Srp)=1,"",IF(AND(YEAR(Ne1Srp+6)=RokKalendáře,MONTH(Ne1Srp+6)=8),Ne1Srp+6,""))</f>
        <v>43680</v>
      </c>
      <c r="AJ35" s="44">
        <f ca="1">IF(DAY(Ne1Srp)=1,IF(AND(YEAR(Ne1Srp)=RokKalendáře,MONTH(Ne1Srp)=8),Ne1Srp,""),IF(AND(YEAR(Ne1Srp+7)=RokKalendáře,MONTH(Ne1Srp+7)=8),Ne1Srp+7,""))</f>
        <v>43681</v>
      </c>
    </row>
    <row r="36" spans="1:36" x14ac:dyDescent="0.2">
      <c r="C36" s="44">
        <f ca="1">IF(DAY(Ne1Kvě)=1,IF(AND(YEAR(Ne1Kvě+1)=RokKalendáře,MONTH(Ne1Kvě+1)=5),Ne1Kvě+1,""),IF(AND(YEAR(Ne1Kvě+8)=RokKalendáře,MONTH(Ne1Kvě+8)=5),Ne1Kvě+8,""))</f>
        <v>43591</v>
      </c>
      <c r="D36" s="44">
        <f ca="1">IF(DAY(Ne1Kvě)=1,IF(AND(YEAR(Ne1Kvě+2)=RokKalendáře,MONTH(Ne1Kvě+2)=5),Ne1Kvě+2,""),IF(AND(YEAR(Ne1Kvě+9)=RokKalendáře,MONTH(Ne1Kvě+9)=5),Ne1Kvě+9,""))</f>
        <v>43592</v>
      </c>
      <c r="E36" s="44">
        <f ca="1">IF(DAY(Ne1Kvě)=1,IF(AND(YEAR(Ne1Kvě+3)=RokKalendáře,MONTH(Ne1Kvě+3)=5),Ne1Kvě+3,""),IF(AND(YEAR(Ne1Kvě+10)=RokKalendáře,MONTH(Ne1Kvě+10)=5),Ne1Kvě+10,""))</f>
        <v>43593</v>
      </c>
      <c r="F36" s="44">
        <f ca="1">IF(DAY(Ne1Kvě)=1,IF(AND(YEAR(Ne1Kvě+4)=RokKalendáře,MONTH(Ne1Kvě+4)=5),Ne1Kvě+4,""),IF(AND(YEAR(Ne1Kvě+11)=RokKalendáře,MONTH(Ne1Kvě+11)=5),Ne1Kvě+11,""))</f>
        <v>43594</v>
      </c>
      <c r="G36" s="44">
        <f ca="1">IF(DAY(Ne1Kvě)=1,IF(AND(YEAR(Ne1Kvě+5)=RokKalendáře,MONTH(Ne1Kvě+5)=5),Ne1Kvě+5,""),IF(AND(YEAR(Ne1Kvě+12)=RokKalendáře,MONTH(Ne1Kvě+12)=5),Ne1Kvě+12,""))</f>
        <v>43595</v>
      </c>
      <c r="H36" s="44">
        <f ca="1">IF(DAY(Ne1Kvě)=1,IF(AND(YEAR(Ne1Kvě+6)=RokKalendáře,MONTH(Ne1Kvě+6)=5),Ne1Kvě+6,""),IF(AND(YEAR(Ne1Kvě+13)=RokKalendáře,MONTH(Ne1Kvě+13)=5),Ne1Kvě+13,""))</f>
        <v>43596</v>
      </c>
      <c r="I36" s="44">
        <f ca="1">IF(DAY(Ne1Kvě)=1,IF(AND(YEAR(Ne1Kvě+7)=RokKalendáře,MONTH(Ne1Kvě+7)=5),Ne1Kvě+7,""),IF(AND(YEAR(Ne1Kvě+14)=RokKalendáře,MONTH(Ne1Kvě+14)=5),Ne1Kvě+14,""))</f>
        <v>43597</v>
      </c>
      <c r="J36" s="36"/>
      <c r="K36" s="35"/>
      <c r="L36" s="44">
        <f ca="1">IF(DAY(Ne1Čer)=1,IF(AND(YEAR(Ne1Čer+1)=RokKalendáře,MONTH(Ne1Čer+1)=6),Ne1Čer+1,""),IF(AND(YEAR(Ne1Čer+8)=RokKalendáře,MONTH(Ne1Čer+8)=6),Ne1Čer+8,""))</f>
        <v>43619</v>
      </c>
      <c r="M36" s="44">
        <f ca="1">IF(DAY(Ne1Čer)=1,IF(AND(YEAR(Ne1Čer+2)=RokKalendáře,MONTH(Ne1Čer+2)=6),Ne1Čer+2,""),IF(AND(YEAR(Ne1Čer+9)=RokKalendáře,MONTH(Ne1Čer+9)=6),Ne1Čer+9,""))</f>
        <v>43620</v>
      </c>
      <c r="N36" s="44">
        <f ca="1">IF(DAY(Ne1Čer)=1,IF(AND(YEAR(Ne1Čer+3)=RokKalendáře,MONTH(Ne1Čer+3)=6),Ne1Čer+3,""),IF(AND(YEAR(Ne1Čer+10)=RokKalendáře,MONTH(Ne1Čer+10)=6),Ne1Čer+10,""))</f>
        <v>43621</v>
      </c>
      <c r="O36" s="44">
        <f ca="1">IF(DAY(Ne1Čer)=1,IF(AND(YEAR(Ne1Čer+4)=RokKalendáře,MONTH(Ne1Čer+4)=6),Ne1Čer+4,""),IF(AND(YEAR(Ne1Čer+11)=RokKalendáře,MONTH(Ne1Čer+11)=6),Ne1Čer+11,""))</f>
        <v>43622</v>
      </c>
      <c r="P36" s="44">
        <f ca="1">IF(DAY(Ne1Čer)=1,IF(AND(YEAR(Ne1Čer+5)=RokKalendáře,MONTH(Ne1Čer+5)=6),Ne1Čer+5,""),IF(AND(YEAR(Ne1Čer+12)=RokKalendáře,MONTH(Ne1Čer+12)=6),Ne1Čer+12,""))</f>
        <v>43623</v>
      </c>
      <c r="Q36" s="44">
        <f ca="1">IF(DAY(Ne1Čer)=1,IF(AND(YEAR(Ne1Čer+6)=RokKalendáře,MONTH(Ne1Čer+6)=6),Ne1Čer+6,""),IF(AND(YEAR(Ne1Čer+13)=RokKalendáře,MONTH(Ne1Čer+13)=6),Ne1Čer+13,""))</f>
        <v>43624</v>
      </c>
      <c r="R36" s="44">
        <f ca="1">IF(DAY(Ne1Čer)=1,IF(AND(YEAR(Ne1Čer+7)=RokKalendáře,MONTH(Ne1Čer+7)=6),Ne1Čer+7,""),IF(AND(YEAR(Ne1Čer+14)=RokKalendáře,MONTH(Ne1Čer+14)=6),Ne1Čer+14,""))</f>
        <v>43625</v>
      </c>
      <c r="S36" s="36"/>
      <c r="T36" s="40"/>
      <c r="U36" s="44">
        <f ca="1">IF(DAY(Ne1Čvc)=1,IF(AND(YEAR(Ne1Čvc+1)=RokKalendáře,MONTH(Ne1Čvc+1)=7),Ne1Čvc+1,""),IF(AND(YEAR(Ne1Čvc+8)=RokKalendáře,MONTH(Ne1Čvc+8)=7),Ne1Čvc+8,""))</f>
        <v>43654</v>
      </c>
      <c r="V36" s="44">
        <f ca="1">IF(DAY(Ne1Čvc)=1,IF(AND(YEAR(Ne1Čvc+2)=RokKalendáře,MONTH(Ne1Čvc+2)=7),Ne1Čvc+2,""),IF(AND(YEAR(Ne1Čvc+9)=RokKalendáře,MONTH(Ne1Čvc+9)=7),Ne1Čvc+9,""))</f>
        <v>43655</v>
      </c>
      <c r="W36" s="44">
        <f ca="1">IF(DAY(Ne1Čvc)=1,IF(AND(YEAR(Ne1Čvc+3)=RokKalendáře,MONTH(Ne1Čvc+3)=7),Ne1Čvc+3,""),IF(AND(YEAR(Ne1Čvc+10)=RokKalendáře,MONTH(Ne1Čvc+10)=7),Ne1Čvc+10,""))</f>
        <v>43656</v>
      </c>
      <c r="X36" s="44">
        <f ca="1">IF(DAY(Ne1Čvc)=1,IF(AND(YEAR(Ne1Čvc+4)=RokKalendáře,MONTH(Ne1Čvc+4)=7),Ne1Čvc+4,""),IF(AND(YEAR(Ne1Čvc+11)=RokKalendáře,MONTH(Ne1Čvc+11)=7),Ne1Čvc+11,""))</f>
        <v>43657</v>
      </c>
      <c r="Y36" s="44">
        <f ca="1">IF(DAY(Ne1Čvc)=1,IF(AND(YEAR(Ne1Čvc+5)=RokKalendáře,MONTH(Ne1Čvc+5)=7),Ne1Čvc+5,""),IF(AND(YEAR(Ne1Čvc+12)=RokKalendáře,MONTH(Ne1Čvc+12)=7),Ne1Čvc+12,""))</f>
        <v>43658</v>
      </c>
      <c r="Z36" s="44">
        <f ca="1">IF(DAY(Ne1Čvc)=1,IF(AND(YEAR(Ne1Čvc+6)=RokKalendáře,MONTH(Ne1Čvc+6)=7),Ne1Čvc+6,""),IF(AND(YEAR(Ne1Čvc+13)=RokKalendáře,MONTH(Ne1Čvc+13)=7),Ne1Čvc+13,""))</f>
        <v>43659</v>
      </c>
      <c r="AA36" s="44">
        <f ca="1">IF(DAY(Ne1Čvc)=1,IF(AND(YEAR(Ne1Čvc+7)=RokKalendáře,MONTH(Ne1Čvc+7)=7),Ne1Čvc+7,""),IF(AND(YEAR(Ne1Čvc+14)=RokKalendáře,MONTH(Ne1Čvc+14)=7),Ne1Čvc+14,""))</f>
        <v>43660</v>
      </c>
      <c r="AB36" s="36"/>
      <c r="AC36" s="39"/>
      <c r="AD36" s="44">
        <f ca="1">IF(DAY(Ne1Srp)=1,IF(AND(YEAR(Ne1Srp+1)=RokKalendáře,MONTH(Ne1Srp+1)=8),Ne1Srp+1,""),IF(AND(YEAR(Ne1Srp+8)=RokKalendáře,MONTH(Ne1Srp+8)=8),Ne1Srp+8,""))</f>
        <v>43682</v>
      </c>
      <c r="AE36" s="44">
        <f ca="1">IF(DAY(Ne1Srp)=1,IF(AND(YEAR(Ne1Srp+2)=RokKalendáře,MONTH(Ne1Srp+2)=8),Ne1Srp+2,""),IF(AND(YEAR(Ne1Srp+9)=RokKalendáře,MONTH(Ne1Srp+9)=8),Ne1Srp+9,""))</f>
        <v>43683</v>
      </c>
      <c r="AF36" s="44">
        <f ca="1">IF(DAY(Ne1Srp)=1,IF(AND(YEAR(Ne1Srp+3)=RokKalendáře,MONTH(Ne1Srp+3)=8),Ne1Srp+3,""),IF(AND(YEAR(Ne1Srp+10)=RokKalendáře,MONTH(Ne1Srp+10)=8),Ne1Srp+10,""))</f>
        <v>43684</v>
      </c>
      <c r="AG36" s="44">
        <f ca="1">IF(DAY(Ne1Srp)=1,IF(AND(YEAR(Ne1Srp+4)=RokKalendáře,MONTH(Ne1Srp+4)=8),Ne1Srp+4,""),IF(AND(YEAR(Ne1Srp+11)=RokKalendáře,MONTH(Ne1Srp+11)=8),Ne1Srp+11,""))</f>
        <v>43685</v>
      </c>
      <c r="AH36" s="44">
        <f ca="1">IF(DAY(Ne1Srp)=1,IF(AND(YEAR(Ne1Srp+5)=RokKalendáře,MONTH(Ne1Srp+5)=8),Ne1Srp+5,""),IF(AND(YEAR(Ne1Srp+12)=RokKalendáře,MONTH(Ne1Srp+12)=8),Ne1Srp+12,""))</f>
        <v>43686</v>
      </c>
      <c r="AI36" s="44">
        <f ca="1">IF(DAY(Ne1Srp)=1,IF(AND(YEAR(Ne1Srp+6)=RokKalendáře,MONTH(Ne1Srp+6)=8),Ne1Srp+6,""),IF(AND(YEAR(Ne1Srp+13)=RokKalendáře,MONTH(Ne1Srp+13)=8),Ne1Srp+13,""))</f>
        <v>43687</v>
      </c>
      <c r="AJ36" s="44">
        <f ca="1">IF(DAY(Ne1Srp)=1,IF(AND(YEAR(Ne1Srp+7)=RokKalendáře,MONTH(Ne1Srp+7)=8),Ne1Srp+7,""),IF(AND(YEAR(Ne1Srp+14)=RokKalendáře,MONTH(Ne1Srp+14)=8),Ne1Srp+14,""))</f>
        <v>43688</v>
      </c>
    </row>
    <row r="37" spans="1:36" x14ac:dyDescent="0.2">
      <c r="C37" s="44">
        <f ca="1">IF(DAY(Ne1Kvě)=1,IF(AND(YEAR(Ne1Kvě+8)=RokKalendáře,MONTH(Ne1Kvě+8)=5),Ne1Kvě+8,""),IF(AND(YEAR(Ne1Kvě+15)=RokKalendáře,MONTH(Ne1Kvě+15)=5),Ne1Kvě+15,""))</f>
        <v>43598</v>
      </c>
      <c r="D37" s="44">
        <f ca="1">IF(DAY(Ne1Kvě)=1,IF(AND(YEAR(Ne1Kvě+9)=RokKalendáře,MONTH(Ne1Kvě+9)=5),Ne1Kvě+9,""),IF(AND(YEAR(Ne1Kvě+16)=RokKalendáře,MONTH(Ne1Kvě+16)=5),Ne1Kvě+16,""))</f>
        <v>43599</v>
      </c>
      <c r="E37" s="44">
        <f ca="1">IF(DAY(Ne1Kvě)=1,IF(AND(YEAR(Ne1Kvě+10)=RokKalendáře,MONTH(Ne1Kvě+10)=5),Ne1Kvě+10,""),IF(AND(YEAR(Ne1Kvě+17)=RokKalendáře,MONTH(Ne1Kvě+17)=5),Ne1Kvě+17,""))</f>
        <v>43600</v>
      </c>
      <c r="F37" s="44">
        <f ca="1">IF(DAY(Ne1Kvě)=1,IF(AND(YEAR(Ne1Kvě+11)=RokKalendáře,MONTH(Ne1Kvě+11)=5),Ne1Kvě+11,""),IF(AND(YEAR(Ne1Kvě+18)=RokKalendáře,MONTH(Ne1Kvě+18)=5),Ne1Kvě+18,""))</f>
        <v>43601</v>
      </c>
      <c r="G37" s="44">
        <f ca="1">IF(DAY(Ne1Kvě)=1,IF(AND(YEAR(Ne1Kvě+12)=RokKalendáře,MONTH(Ne1Kvě+12)=5),Ne1Kvě+12,""),IF(AND(YEAR(Ne1Kvě+19)=RokKalendáře,MONTH(Ne1Kvě+19)=5),Ne1Kvě+19,""))</f>
        <v>43602</v>
      </c>
      <c r="H37" s="44">
        <f ca="1">IF(DAY(Ne1Kvě)=1,IF(AND(YEAR(Ne1Kvě+13)=RokKalendáře,MONTH(Ne1Kvě+13)=5),Ne1Kvě+13,""),IF(AND(YEAR(Ne1Kvě+20)=RokKalendáře,MONTH(Ne1Kvě+20)=5),Ne1Kvě+20,""))</f>
        <v>43603</v>
      </c>
      <c r="I37" s="44">
        <f ca="1">IF(DAY(Ne1Kvě)=1,IF(AND(YEAR(Ne1Kvě+14)=RokKalendáře,MONTH(Ne1Kvě+14)=5),Ne1Kvě+14,""),IF(AND(YEAR(Ne1Kvě+21)=RokKalendáře,MONTH(Ne1Kvě+21)=5),Ne1Kvě+21,""))</f>
        <v>43604</v>
      </c>
      <c r="J37" s="36"/>
      <c r="K37" s="35"/>
      <c r="L37" s="44">
        <f ca="1">IF(DAY(Ne1Čer)=1,IF(AND(YEAR(Ne1Čer+8)=RokKalendáře,MONTH(Ne1Čer+8)=6),Ne1Čer+8,""),IF(AND(YEAR(Ne1Čer+15)=RokKalendáře,MONTH(Ne1Čer+15)=6),Ne1Čer+15,""))</f>
        <v>43626</v>
      </c>
      <c r="M37" s="44">
        <f ca="1">IF(DAY(Ne1Čer)=1,IF(AND(YEAR(Ne1Čer+9)=RokKalendáře,MONTH(Ne1Čer+9)=6),Ne1Čer+9,""),IF(AND(YEAR(Ne1Čer+16)=RokKalendáře,MONTH(Ne1Čer+16)=6),Ne1Čer+16,""))</f>
        <v>43627</v>
      </c>
      <c r="N37" s="44">
        <f ca="1">IF(DAY(Ne1Čer)=1,IF(AND(YEAR(Ne1Čer+10)=RokKalendáře,MONTH(Ne1Čer+10)=6),Ne1Čer+10,""),IF(AND(YEAR(Ne1Čer+17)=RokKalendáře,MONTH(Ne1Čer+17)=6),Ne1Čer+17,""))</f>
        <v>43628</v>
      </c>
      <c r="O37" s="44">
        <f ca="1">IF(DAY(Ne1Čer)=1,IF(AND(YEAR(Ne1Čer+11)=RokKalendáře,MONTH(Ne1Čer+11)=6),Ne1Čer+11,""),IF(AND(YEAR(Ne1Čer+18)=RokKalendáře,MONTH(Ne1Čer+18)=6),Ne1Čer+18,""))</f>
        <v>43629</v>
      </c>
      <c r="P37" s="44">
        <f ca="1">IF(DAY(Ne1Čer)=1,IF(AND(YEAR(Ne1Čer+12)=RokKalendáře,MONTH(Ne1Čer+12)=6),Ne1Čer+12,""),IF(AND(YEAR(Ne1Čer+19)=RokKalendáře,MONTH(Ne1Čer+19)=6),Ne1Čer+19,""))</f>
        <v>43630</v>
      </c>
      <c r="Q37" s="44">
        <f ca="1">IF(DAY(Ne1Čer)=1,IF(AND(YEAR(Ne1Čer+13)=RokKalendáře,MONTH(Ne1Čer+13)=6),Ne1Čer+13,""),IF(AND(YEAR(Ne1Čer+20)=RokKalendáře,MONTH(Ne1Čer+20)=6),Ne1Čer+20,""))</f>
        <v>43631</v>
      </c>
      <c r="R37" s="44">
        <f ca="1">IF(DAY(Ne1Čer)=1,IF(AND(YEAR(Ne1Čer+14)=RokKalendáře,MONTH(Ne1Čer+14)=6),Ne1Čer+14,""),IF(AND(YEAR(Ne1Čer+21)=RokKalendáře,MONTH(Ne1Čer+21)=6),Ne1Čer+21,""))</f>
        <v>43632</v>
      </c>
      <c r="S37" s="36"/>
      <c r="T37" s="40"/>
      <c r="U37" s="44">
        <f ca="1">IF(DAY(Ne1Čvc)=1,IF(AND(YEAR(Ne1Čvc+8)=RokKalendáře,MONTH(Ne1Čvc+8)=7),Ne1Čvc+8,""),IF(AND(YEAR(Ne1Čvc+15)=RokKalendáře,MONTH(Ne1Čvc+15)=7),Ne1Čvc+15,""))</f>
        <v>43661</v>
      </c>
      <c r="V37" s="44">
        <f ca="1">IF(DAY(Ne1Čvc)=1,IF(AND(YEAR(Ne1Čvc+9)=RokKalendáře,MONTH(Ne1Čvc+9)=7),Ne1Čvc+9,""),IF(AND(YEAR(Ne1Čvc+16)=RokKalendáře,MONTH(Ne1Čvc+16)=7),Ne1Čvc+16,""))</f>
        <v>43662</v>
      </c>
      <c r="W37" s="44">
        <f ca="1">IF(DAY(Ne1Čvc)=1,IF(AND(YEAR(Ne1Čvc+10)=RokKalendáře,MONTH(Ne1Čvc+10)=7),Ne1Čvc+10,""),IF(AND(YEAR(Ne1Čvc+17)=RokKalendáře,MONTH(Ne1Čvc+17)=7),Ne1Čvc+17,""))</f>
        <v>43663</v>
      </c>
      <c r="X37" s="44">
        <f ca="1">IF(DAY(Ne1Čvc)=1,IF(AND(YEAR(Ne1Čvc+11)=RokKalendáře,MONTH(Ne1Čvc+11)=7),Ne1Čvc+11,""),IF(AND(YEAR(Ne1Čvc+18)=RokKalendáře,MONTH(Ne1Čvc+18)=7),Ne1Čvc+18,""))</f>
        <v>43664</v>
      </c>
      <c r="Y37" s="44">
        <f ca="1">IF(DAY(Ne1Čvc)=1,IF(AND(YEAR(Ne1Čvc+12)=RokKalendáře,MONTH(Ne1Čvc+12)=7),Ne1Čvc+12,""),IF(AND(YEAR(Ne1Čvc+19)=RokKalendáře,MONTH(Ne1Čvc+19)=7),Ne1Čvc+19,""))</f>
        <v>43665</v>
      </c>
      <c r="Z37" s="44">
        <f ca="1">IF(DAY(Ne1Čvc)=1,IF(AND(YEAR(Ne1Čvc+13)=RokKalendáře,MONTH(Ne1Čvc+13)=7),Ne1Čvc+13,""),IF(AND(YEAR(Ne1Čvc+20)=RokKalendáře,MONTH(Ne1Čvc+20)=7),Ne1Čvc+20,""))</f>
        <v>43666</v>
      </c>
      <c r="AA37" s="44">
        <f ca="1">IF(DAY(Ne1Čvc)=1,IF(AND(YEAR(Ne1Čvc+14)=RokKalendáře,MONTH(Ne1Čvc+14)=7),Ne1Čvc+14,""),IF(AND(YEAR(Ne1Čvc+21)=RokKalendáře,MONTH(Ne1Čvc+21)=7),Ne1Čvc+21,""))</f>
        <v>43667</v>
      </c>
      <c r="AB37" s="36"/>
      <c r="AC37" s="39"/>
      <c r="AD37" s="44">
        <f ca="1">IF(DAY(Ne1Srp)=1,IF(AND(YEAR(Ne1Srp+8)=RokKalendáře,MONTH(Ne1Srp+8)=8),Ne1Srp+8,""),IF(AND(YEAR(Ne1Srp+15)=RokKalendáře,MONTH(Ne1Srp+15)=8),Ne1Srp+15,""))</f>
        <v>43689</v>
      </c>
      <c r="AE37" s="44">
        <f ca="1">IF(DAY(Ne1Srp)=1,IF(AND(YEAR(Ne1Srp+9)=RokKalendáře,MONTH(Ne1Srp+9)=8),Ne1Srp+9,""),IF(AND(YEAR(Ne1Srp+16)=RokKalendáře,MONTH(Ne1Srp+16)=8),Ne1Srp+16,""))</f>
        <v>43690</v>
      </c>
      <c r="AF37" s="44">
        <f ca="1">IF(DAY(Ne1Srp)=1,IF(AND(YEAR(Ne1Srp+10)=RokKalendáře,MONTH(Ne1Srp+10)=8),Ne1Srp+10,""),IF(AND(YEAR(Ne1Srp+17)=RokKalendáře,MONTH(Ne1Srp+17)=8),Ne1Srp+17,""))</f>
        <v>43691</v>
      </c>
      <c r="AG37" s="44">
        <f ca="1">IF(DAY(Ne1Srp)=1,IF(AND(YEAR(Ne1Srp+11)=RokKalendáře,MONTH(Ne1Srp+11)=8),Ne1Srp+11,""),IF(AND(YEAR(Ne1Srp+18)=RokKalendáře,MONTH(Ne1Srp+18)=8),Ne1Srp+18,""))</f>
        <v>43692</v>
      </c>
      <c r="AH37" s="44">
        <f ca="1">IF(DAY(Ne1Srp)=1,IF(AND(YEAR(Ne1Srp+12)=RokKalendáře,MONTH(Ne1Srp+12)=8),Ne1Srp+12,""),IF(AND(YEAR(Ne1Srp+19)=RokKalendáře,MONTH(Ne1Srp+19)=8),Ne1Srp+19,""))</f>
        <v>43693</v>
      </c>
      <c r="AI37" s="44">
        <f ca="1">IF(DAY(Ne1Srp)=1,IF(AND(YEAR(Ne1Srp+13)=RokKalendáře,MONTH(Ne1Srp+13)=8),Ne1Srp+13,""),IF(AND(YEAR(Ne1Srp+20)=RokKalendáře,MONTH(Ne1Srp+20)=8),Ne1Srp+20,""))</f>
        <v>43694</v>
      </c>
      <c r="AJ37" s="44">
        <f ca="1">IF(DAY(Ne1Srp)=1,IF(AND(YEAR(Ne1Srp+14)=RokKalendáře,MONTH(Ne1Srp+14)=8),Ne1Srp+14,""),IF(AND(YEAR(Ne1Srp+21)=RokKalendáře,MONTH(Ne1Srp+21)=8),Ne1Srp+21,""))</f>
        <v>43695</v>
      </c>
    </row>
    <row r="38" spans="1:36" x14ac:dyDescent="0.2">
      <c r="C38" s="44">
        <f ca="1">IF(DAY(Ne1Kvě)=1,IF(AND(YEAR(Ne1Kvě+15)=RokKalendáře,MONTH(Ne1Kvě+15)=5),Ne1Kvě+15,""),IF(AND(YEAR(Ne1Kvě+22)=RokKalendáře,MONTH(Ne1Kvě+22)=5),Ne1Kvě+22,""))</f>
        <v>43605</v>
      </c>
      <c r="D38" s="44">
        <f ca="1">IF(DAY(Ne1Kvě)=1,IF(AND(YEAR(Ne1Kvě+16)=RokKalendáře,MONTH(Ne1Kvě+16)=5),Ne1Kvě+16,""),IF(AND(YEAR(Ne1Kvě+23)=RokKalendáře,MONTH(Ne1Kvě+23)=5),Ne1Kvě+23,""))</f>
        <v>43606</v>
      </c>
      <c r="E38" s="44">
        <f ca="1">IF(DAY(Ne1Kvě)=1,IF(AND(YEAR(Ne1Kvě+17)=RokKalendáře,MONTH(Ne1Kvě+17)=5),Ne1Kvě+17,""),IF(AND(YEAR(Ne1Kvě+24)=RokKalendáře,MONTH(Ne1Kvě+24)=5),Ne1Kvě+24,""))</f>
        <v>43607</v>
      </c>
      <c r="F38" s="44">
        <f ca="1">IF(DAY(Ne1Kvě)=1,IF(AND(YEAR(Ne1Kvě+18)=RokKalendáře,MONTH(Ne1Kvě+18)=5),Ne1Kvě+18,""),IF(AND(YEAR(Ne1Kvě+25)=RokKalendáře,MONTH(Ne1Kvě+25)=5),Ne1Kvě+25,""))</f>
        <v>43608</v>
      </c>
      <c r="G38" s="44">
        <f ca="1">IF(DAY(Ne1Kvě)=1,IF(AND(YEAR(Ne1Kvě+19)=RokKalendáře,MONTH(Ne1Kvě+19)=5),Ne1Kvě+19,""),IF(AND(YEAR(Ne1Kvě+26)=RokKalendáře,MONTH(Ne1Kvě+26)=5),Ne1Kvě+26,""))</f>
        <v>43609</v>
      </c>
      <c r="H38" s="44">
        <f ca="1">IF(DAY(Ne1Kvě)=1,IF(AND(YEAR(Ne1Kvě+20)=RokKalendáře,MONTH(Ne1Kvě+20)=5),Ne1Kvě+20,""),IF(AND(YEAR(Ne1Kvě+27)=RokKalendáře,MONTH(Ne1Kvě+27)=5),Ne1Kvě+27,""))</f>
        <v>43610</v>
      </c>
      <c r="I38" s="44">
        <f ca="1">IF(DAY(Ne1Kvě)=1,IF(AND(YEAR(Ne1Kvě+21)=RokKalendáře,MONTH(Ne1Kvě+21)=5),Ne1Kvě+21,""),IF(AND(YEAR(Ne1Kvě+28)=RokKalendáře,MONTH(Ne1Kvě+28)=5),Ne1Kvě+28,""))</f>
        <v>43611</v>
      </c>
      <c r="J38" s="36"/>
      <c r="K38" s="35"/>
      <c r="L38" s="44">
        <f ca="1">IF(DAY(Ne1Čer)=1,IF(AND(YEAR(Ne1Čer+15)=RokKalendáře,MONTH(Ne1Čer+15)=6),Ne1Čer+15,""),IF(AND(YEAR(Ne1Čer+22)=RokKalendáře,MONTH(Ne1Čer+22)=6),Ne1Čer+22,""))</f>
        <v>43633</v>
      </c>
      <c r="M38" s="44">
        <f ca="1">IF(DAY(Ne1Čer)=1,IF(AND(YEAR(Ne1Čer+16)=RokKalendáře,MONTH(Ne1Čer+16)=6),Ne1Čer+16,""),IF(AND(YEAR(Ne1Čer+23)=RokKalendáře,MONTH(Ne1Čer+23)=6),Ne1Čer+23,""))</f>
        <v>43634</v>
      </c>
      <c r="N38" s="44">
        <f ca="1">IF(DAY(Ne1Čer)=1,IF(AND(YEAR(Ne1Čer+17)=RokKalendáře,MONTH(Ne1Čer+17)=6),Ne1Čer+17,""),IF(AND(YEAR(Ne1Čer+24)=RokKalendáře,MONTH(Ne1Čer+24)=6),Ne1Čer+24,""))</f>
        <v>43635</v>
      </c>
      <c r="O38" s="44">
        <f ca="1">IF(DAY(Ne1Čer)=1,IF(AND(YEAR(Ne1Čer+18)=RokKalendáře,MONTH(Ne1Čer+18)=6),Ne1Čer+18,""),IF(AND(YEAR(Ne1Čer+25)=RokKalendáře,MONTH(Ne1Čer+25)=6),Ne1Čer+25,""))</f>
        <v>43636</v>
      </c>
      <c r="P38" s="44">
        <f ca="1">IF(DAY(Ne1Čer)=1,IF(AND(YEAR(Ne1Čer+19)=RokKalendáře,MONTH(Ne1Čer+19)=6),Ne1Čer+19,""),IF(AND(YEAR(Ne1Čer+26)=RokKalendáře,MONTH(Ne1Čer+26)=6),Ne1Čer+26,""))</f>
        <v>43637</v>
      </c>
      <c r="Q38" s="44">
        <f ca="1">IF(DAY(Ne1Čer)=1,IF(AND(YEAR(Ne1Čer+20)=RokKalendáře,MONTH(Ne1Čer+20)=6),Ne1Čer+20,""),IF(AND(YEAR(Ne1Čer+27)=RokKalendáře,MONTH(Ne1Čer+27)=6),Ne1Čer+27,""))</f>
        <v>43638</v>
      </c>
      <c r="R38" s="44">
        <f ca="1">IF(DAY(Ne1Čer)=1,IF(AND(YEAR(Ne1Čer+21)=RokKalendáře,MONTH(Ne1Čer+21)=6),Ne1Čer+21,""),IF(AND(YEAR(Ne1Čer+28)=RokKalendáře,MONTH(Ne1Čer+28)=6),Ne1Čer+28,""))</f>
        <v>43639</v>
      </c>
      <c r="S38" s="36"/>
      <c r="T38" s="40"/>
      <c r="U38" s="44">
        <f ca="1">IF(DAY(Ne1Čvc)=1,IF(AND(YEAR(Ne1Čvc+15)=RokKalendáře,MONTH(Ne1Čvc+15)=7),Ne1Čvc+15,""),IF(AND(YEAR(Ne1Čvc+22)=RokKalendáře,MONTH(Ne1Čvc+22)=7),Ne1Čvc+22,""))</f>
        <v>43668</v>
      </c>
      <c r="V38" s="44">
        <f ca="1">IF(DAY(Ne1Čvc)=1,IF(AND(YEAR(Ne1Čvc+16)=RokKalendáře,MONTH(Ne1Čvc+16)=7),Ne1Čvc+16,""),IF(AND(YEAR(Ne1Čvc+23)=RokKalendáře,MONTH(Ne1Čvc+23)=7),Ne1Čvc+23,""))</f>
        <v>43669</v>
      </c>
      <c r="W38" s="44">
        <f ca="1">IF(DAY(Ne1Čvc)=1,IF(AND(YEAR(Ne1Čvc+17)=RokKalendáře,MONTH(Ne1Čvc+17)=7),Ne1Čvc+17,""),IF(AND(YEAR(Ne1Čvc+24)=RokKalendáře,MONTH(Ne1Čvc+24)=7),Ne1Čvc+24,""))</f>
        <v>43670</v>
      </c>
      <c r="X38" s="44">
        <f ca="1">IF(DAY(Ne1Čvc)=1,IF(AND(YEAR(Ne1Čvc+18)=RokKalendáře,MONTH(Ne1Čvc+18)=7),Ne1Čvc+18,""),IF(AND(YEAR(Ne1Čvc+25)=RokKalendáře,MONTH(Ne1Čvc+25)=7),Ne1Čvc+25,""))</f>
        <v>43671</v>
      </c>
      <c r="Y38" s="44">
        <f ca="1">IF(DAY(Ne1Čvc)=1,IF(AND(YEAR(Ne1Čvc+19)=RokKalendáře,MONTH(Ne1Čvc+19)=7),Ne1Čvc+19,""),IF(AND(YEAR(Ne1Čvc+26)=RokKalendáře,MONTH(Ne1Čvc+26)=7),Ne1Čvc+26,""))</f>
        <v>43672</v>
      </c>
      <c r="Z38" s="44">
        <f ca="1">IF(DAY(Ne1Čvc)=1,IF(AND(YEAR(Ne1Čvc+20)=RokKalendáře,MONTH(Ne1Čvc+20)=7),Ne1Čvc+20,""),IF(AND(YEAR(Ne1Čvc+27)=RokKalendáře,MONTH(Ne1Čvc+27)=7),Ne1Čvc+27,""))</f>
        <v>43673</v>
      </c>
      <c r="AA38" s="44">
        <f ca="1">IF(DAY(Ne1Čvc)=1,IF(AND(YEAR(Ne1Čvc+21)=RokKalendáře,MONTH(Ne1Čvc+21)=7),Ne1Čvc+21,""),IF(AND(YEAR(Ne1Čvc+28)=RokKalendáře,MONTH(Ne1Čvc+28)=7),Ne1Čvc+28,""))</f>
        <v>43674</v>
      </c>
      <c r="AB38" s="36"/>
      <c r="AC38" s="39"/>
      <c r="AD38" s="44">
        <f ca="1">IF(DAY(Ne1Srp)=1,IF(AND(YEAR(Ne1Srp+15)=RokKalendáře,MONTH(Ne1Srp+15)=8),Ne1Srp+15,""),IF(AND(YEAR(Ne1Srp+22)=RokKalendáře,MONTH(Ne1Srp+22)=8),Ne1Srp+22,""))</f>
        <v>43696</v>
      </c>
      <c r="AE38" s="44">
        <f ca="1">IF(DAY(Ne1Srp)=1,IF(AND(YEAR(Ne1Srp+16)=RokKalendáře,MONTH(Ne1Srp+16)=8),Ne1Srp+16,""),IF(AND(YEAR(Ne1Srp+23)=RokKalendáře,MONTH(Ne1Srp+23)=8),Ne1Srp+23,""))</f>
        <v>43697</v>
      </c>
      <c r="AF38" s="44">
        <f ca="1">IF(DAY(Ne1Srp)=1,IF(AND(YEAR(Ne1Srp+17)=RokKalendáře,MONTH(Ne1Srp+17)=8),Ne1Srp+17,""),IF(AND(YEAR(Ne1Srp+24)=RokKalendáře,MONTH(Ne1Srp+24)=8),Ne1Srp+24,""))</f>
        <v>43698</v>
      </c>
      <c r="AG38" s="44">
        <f ca="1">IF(DAY(Ne1Srp)=1,IF(AND(YEAR(Ne1Srp+18)=RokKalendáře,MONTH(Ne1Srp+18)=8),Ne1Srp+18,""),IF(AND(YEAR(Ne1Srp+25)=RokKalendáře,MONTH(Ne1Srp+25)=8),Ne1Srp+25,""))</f>
        <v>43699</v>
      </c>
      <c r="AH38" s="44">
        <f ca="1">IF(DAY(Ne1Srp)=1,IF(AND(YEAR(Ne1Srp+19)=RokKalendáře,MONTH(Ne1Srp+19)=8),Ne1Srp+19,""),IF(AND(YEAR(Ne1Srp+26)=RokKalendáře,MONTH(Ne1Srp+26)=8),Ne1Srp+26,""))</f>
        <v>43700</v>
      </c>
      <c r="AI38" s="44">
        <f ca="1">IF(DAY(Ne1Srp)=1,IF(AND(YEAR(Ne1Srp+20)=RokKalendáře,MONTH(Ne1Srp+20)=8),Ne1Srp+20,""),IF(AND(YEAR(Ne1Srp+27)=RokKalendáře,MONTH(Ne1Srp+27)=8),Ne1Srp+27,""))</f>
        <v>43701</v>
      </c>
      <c r="AJ38" s="44">
        <f ca="1">IF(DAY(Ne1Srp)=1,IF(AND(YEAR(Ne1Srp+21)=RokKalendáře,MONTH(Ne1Srp+21)=8),Ne1Srp+21,""),IF(AND(YEAR(Ne1Srp+28)=RokKalendáře,MONTH(Ne1Srp+28)=8),Ne1Srp+28,""))</f>
        <v>43702</v>
      </c>
    </row>
    <row r="39" spans="1:36" x14ac:dyDescent="0.2">
      <c r="C39" s="44">
        <f ca="1">IF(DAY(Ne1Kvě)=1,IF(AND(YEAR(Ne1Kvě+22)=RokKalendáře,MONTH(Ne1Kvě+22)=5),Ne1Kvě+22,""),IF(AND(YEAR(Ne1Kvě+29)=RokKalendáře,MONTH(Ne1Kvě+29)=5),Ne1Kvě+29,""))</f>
        <v>43612</v>
      </c>
      <c r="D39" s="44">
        <f ca="1">IF(DAY(Ne1Kvě)=1,IF(AND(YEAR(Ne1Kvě+23)=RokKalendáře,MONTH(Ne1Kvě+23)=5),Ne1Kvě+23,""),IF(AND(YEAR(Ne1Kvě+30)=RokKalendáře,MONTH(Ne1Kvě+30)=5),Ne1Kvě+30,""))</f>
        <v>43613</v>
      </c>
      <c r="E39" s="44">
        <f ca="1">IF(DAY(Ne1Kvě)=1,IF(AND(YEAR(Ne1Kvě+24)=RokKalendáře,MONTH(Ne1Kvě+24)=5),Ne1Kvě+24,""),IF(AND(YEAR(Ne1Kvě+31)=RokKalendáře,MONTH(Ne1Kvě+31)=5),Ne1Kvě+31,""))</f>
        <v>43614</v>
      </c>
      <c r="F39" s="44">
        <f ca="1">IF(DAY(Ne1Kvě)=1,IF(AND(YEAR(Ne1Kvě+25)=RokKalendáře,MONTH(Ne1Kvě+25)=5),Ne1Kvě+25,""),IF(AND(YEAR(Ne1Kvě+32)=RokKalendáře,MONTH(Ne1Kvě+32)=5),Ne1Kvě+32,""))</f>
        <v>43615</v>
      </c>
      <c r="G39" s="44">
        <f ca="1">IF(DAY(Ne1Kvě)=1,IF(AND(YEAR(Ne1Kvě+26)=RokKalendáře,MONTH(Ne1Kvě+26)=5),Ne1Kvě+26,""),IF(AND(YEAR(Ne1Kvě+33)=RokKalendáře,MONTH(Ne1Kvě+33)=5),Ne1Kvě+33,""))</f>
        <v>43616</v>
      </c>
      <c r="H39" s="44" t="str">
        <f ca="1">IF(DAY(Ne1Kvě)=1,IF(AND(YEAR(Ne1Kvě+27)=RokKalendáře,MONTH(Ne1Kvě+27)=5),Ne1Kvě+27,""),IF(AND(YEAR(Ne1Kvě+34)=RokKalendáře,MONTH(Ne1Kvě+34)=5),Ne1Kvě+34,""))</f>
        <v/>
      </c>
      <c r="I39" s="44" t="str">
        <f ca="1">IF(DAY(Ne1Kvě)=1,IF(AND(YEAR(Ne1Kvě+28)=RokKalendáře,MONTH(Ne1Kvě+28)=5),Ne1Kvě+28,""),IF(AND(YEAR(Ne1Kvě+35)=RokKalendáře,MONTH(Ne1Kvě+35)=5),Ne1Kvě+35,""))</f>
        <v/>
      </c>
      <c r="J39" s="36"/>
      <c r="K39" s="35"/>
      <c r="L39" s="44">
        <f ca="1">IF(DAY(Ne1Čer)=1,IF(AND(YEAR(Ne1Čer+22)=RokKalendáře,MONTH(Ne1Čer+22)=6),Ne1Čer+22,""),IF(AND(YEAR(Ne1Čer+29)=RokKalendáře,MONTH(Ne1Čer+29)=6),Ne1Čer+29,""))</f>
        <v>43640</v>
      </c>
      <c r="M39" s="44">
        <f ca="1">IF(DAY(Ne1Čer)=1,IF(AND(YEAR(Ne1Čer+23)=RokKalendáře,MONTH(Ne1Čer+23)=6),Ne1Čer+23,""),IF(AND(YEAR(Ne1Čer+30)=RokKalendáře,MONTH(Ne1Čer+30)=6),Ne1Čer+30,""))</f>
        <v>43641</v>
      </c>
      <c r="N39" s="44">
        <f ca="1">IF(DAY(Ne1Čer)=1,IF(AND(YEAR(Ne1Čer+24)=RokKalendáře,MONTH(Ne1Čer+24)=6),Ne1Čer+24,""),IF(AND(YEAR(Ne1Čer+31)=RokKalendáře,MONTH(Ne1Čer+31)=6),Ne1Čer+31,""))</f>
        <v>43642</v>
      </c>
      <c r="O39" s="44">
        <f ca="1">IF(DAY(Ne1Čer)=1,IF(AND(YEAR(Ne1Čer+25)=RokKalendáře,MONTH(Ne1Čer+25)=6),Ne1Čer+25,""),IF(AND(YEAR(Ne1Čer+32)=RokKalendáře,MONTH(Ne1Čer+32)=6),Ne1Čer+32,""))</f>
        <v>43643</v>
      </c>
      <c r="P39" s="44">
        <f ca="1">IF(DAY(Ne1Čer)=1,IF(AND(YEAR(Ne1Čer+26)=RokKalendáře,MONTH(Ne1Čer+26)=6),Ne1Čer+26,""),IF(AND(YEAR(Ne1Čer+33)=RokKalendáře,MONTH(Ne1Čer+33)=6),Ne1Čer+33,""))</f>
        <v>43644</v>
      </c>
      <c r="Q39" s="44">
        <f ca="1">IF(DAY(Ne1Čer)=1,IF(AND(YEAR(Ne1Čer+27)=RokKalendáře,MONTH(Ne1Čer+27)=6),Ne1Čer+27,""),IF(AND(YEAR(Ne1Čer+34)=RokKalendáře,MONTH(Ne1Čer+34)=6),Ne1Čer+34,""))</f>
        <v>43645</v>
      </c>
      <c r="R39" s="44">
        <f ca="1">IF(DAY(Ne1Čer)=1,IF(AND(YEAR(Ne1Čer+28)=RokKalendáře,MONTH(Ne1Čer+28)=6),Ne1Čer+28,""),IF(AND(YEAR(Ne1Čer+35)=RokKalendáře,MONTH(Ne1Čer+35)=6),Ne1Čer+35,""))</f>
        <v>43646</v>
      </c>
      <c r="S39" s="36"/>
      <c r="T39" s="40"/>
      <c r="U39" s="44">
        <f ca="1">IF(DAY(Ne1Čvc)=1,IF(AND(YEAR(Ne1Čvc+22)=RokKalendáře,MONTH(Ne1Čvc+22)=7),Ne1Čvc+22,""),IF(AND(YEAR(Ne1Čvc+29)=RokKalendáře,MONTH(Ne1Čvc+29)=7),Ne1Čvc+29,""))</f>
        <v>43675</v>
      </c>
      <c r="V39" s="44">
        <f ca="1">IF(DAY(Ne1Čvc)=1,IF(AND(YEAR(Ne1Čvc+23)=RokKalendáře,MONTH(Ne1Čvc+23)=7),Ne1Čvc+23,""),IF(AND(YEAR(Ne1Čvc+30)=RokKalendáře,MONTH(Ne1Čvc+30)=7),Ne1Čvc+30,""))</f>
        <v>43676</v>
      </c>
      <c r="W39" s="44">
        <f ca="1">IF(DAY(Ne1Čvc)=1,IF(AND(YEAR(Ne1Čvc+24)=RokKalendáře,MONTH(Ne1Čvc+24)=7),Ne1Čvc+24,""),IF(AND(YEAR(Ne1Čvc+31)=RokKalendáře,MONTH(Ne1Čvc+31)=7),Ne1Čvc+31,""))</f>
        <v>43677</v>
      </c>
      <c r="X39" s="44" t="str">
        <f ca="1">IF(DAY(Ne1Čvc)=1,IF(AND(YEAR(Ne1Čvc+25)=RokKalendáře,MONTH(Ne1Čvc+25)=7),Ne1Čvc+25,""),IF(AND(YEAR(Ne1Čvc+32)=RokKalendáře,MONTH(Ne1Čvc+32)=7),Ne1Čvc+32,""))</f>
        <v/>
      </c>
      <c r="Y39" s="44" t="str">
        <f ca="1">IF(DAY(Ne1Čvc)=1,IF(AND(YEAR(Ne1Čvc+26)=RokKalendáře,MONTH(Ne1Čvc+26)=7),Ne1Čvc+26,""),IF(AND(YEAR(Ne1Čvc+33)=RokKalendáře,MONTH(Ne1Čvc+33)=7),Ne1Čvc+33,""))</f>
        <v/>
      </c>
      <c r="Z39" s="44" t="str">
        <f ca="1">IF(DAY(Ne1Čvc)=1,IF(AND(YEAR(Ne1Čvc+27)=RokKalendáře,MONTH(Ne1Čvc+27)=7),Ne1Čvc+27,""),IF(AND(YEAR(Ne1Čvc+34)=RokKalendáře,MONTH(Ne1Čvc+34)=7),Ne1Čvc+34,""))</f>
        <v/>
      </c>
      <c r="AA39" s="44" t="str">
        <f ca="1">IF(DAY(Ne1Čvc)=1,IF(AND(YEAR(Ne1Čvc+28)=RokKalendáře,MONTH(Ne1Čvc+28)=7),Ne1Čvc+28,""),IF(AND(YEAR(Ne1Čvc+35)=RokKalendáře,MONTH(Ne1Čvc+35)=7),Ne1Čvc+35,""))</f>
        <v/>
      </c>
      <c r="AB39" s="36"/>
      <c r="AC39" s="39"/>
      <c r="AD39" s="44">
        <f ca="1">IF(DAY(Ne1Srp)=1,IF(AND(YEAR(Ne1Srp+22)=RokKalendáře,MONTH(Ne1Srp+22)=8),Ne1Srp+22,""),IF(AND(YEAR(Ne1Srp+29)=RokKalendáře,MONTH(Ne1Srp+29)=8),Ne1Srp+29,""))</f>
        <v>43703</v>
      </c>
      <c r="AE39" s="44">
        <f ca="1">IF(DAY(Ne1Srp)=1,IF(AND(YEAR(Ne1Srp+23)=RokKalendáře,MONTH(Ne1Srp+23)=8),Ne1Srp+23,""),IF(AND(YEAR(Ne1Srp+30)=RokKalendáře,MONTH(Ne1Srp+30)=8),Ne1Srp+30,""))</f>
        <v>43704</v>
      </c>
      <c r="AF39" s="44">
        <f ca="1">IF(DAY(Ne1Srp)=1,IF(AND(YEAR(Ne1Srp+24)=RokKalendáře,MONTH(Ne1Srp+24)=8),Ne1Srp+24,""),IF(AND(YEAR(Ne1Srp+31)=RokKalendáře,MONTH(Ne1Srp+31)=8),Ne1Srp+31,""))</f>
        <v>43705</v>
      </c>
      <c r="AG39" s="44">
        <f ca="1">IF(DAY(Ne1Srp)=1,IF(AND(YEAR(Ne1Srp+25)=RokKalendáře,MONTH(Ne1Srp+25)=8),Ne1Srp+25,""),IF(AND(YEAR(Ne1Srp+32)=RokKalendáře,MONTH(Ne1Srp+32)=8),Ne1Srp+32,""))</f>
        <v>43706</v>
      </c>
      <c r="AH39" s="44">
        <f ca="1">IF(DAY(Ne1Srp)=1,IF(AND(YEAR(Ne1Srp+26)=RokKalendáře,MONTH(Ne1Srp+26)=8),Ne1Srp+26,""),IF(AND(YEAR(Ne1Srp+33)=RokKalendáře,MONTH(Ne1Srp+33)=8),Ne1Srp+33,""))</f>
        <v>43707</v>
      </c>
      <c r="AI39" s="44">
        <f ca="1">IF(DAY(Ne1Srp)=1,IF(AND(YEAR(Ne1Srp+27)=RokKalendáře,MONTH(Ne1Srp+27)=8),Ne1Srp+27,""),IF(AND(YEAR(Ne1Srp+34)=RokKalendáře,MONTH(Ne1Srp+34)=8),Ne1Srp+34,""))</f>
        <v>43708</v>
      </c>
      <c r="AJ39" s="44" t="str">
        <f ca="1">IF(DAY(Ne1Srp)=1,IF(AND(YEAR(Ne1Srp+28)=RokKalendáře,MONTH(Ne1Srp+28)=8),Ne1Srp+28,""),IF(AND(YEAR(Ne1Srp+35)=RokKalendáře,MONTH(Ne1Srp+35)=8),Ne1Srp+35,""))</f>
        <v/>
      </c>
    </row>
    <row r="40" spans="1:36" x14ac:dyDescent="0.2">
      <c r="C40" s="44" t="str">
        <f ca="1">IF(DAY(Ne1Kvě)=1,IF(AND(YEAR(Ne1Kvě+29)=RokKalendáře,MONTH(Ne1Kvě+29)=5),Ne1Kvě+29,""),IF(AND(YEAR(Ne1Kvě+36)=RokKalendáře,MONTH(Ne1Kvě+36)=5),Ne1Kvě+36,""))</f>
        <v/>
      </c>
      <c r="D40" s="44" t="str">
        <f ca="1">IF(DAY(Ne1Kvě)=1,IF(AND(YEAR(Ne1Kvě+30)=RokKalendáře,MONTH(Ne1Kvě+30)=5),Ne1Kvě+30,""),IF(AND(YEAR(Ne1Kvě+37)=RokKalendáře,MONTH(Ne1Kvě+37)=5),Ne1Kvě+37,""))</f>
        <v/>
      </c>
      <c r="E40" s="44" t="str">
        <f ca="1">IF(DAY(Ne1Kvě)=1,IF(AND(YEAR(Ne1Kvě+31)=RokKalendáře,MONTH(Ne1Kvě+31)=5),Ne1Kvě+31,""),IF(AND(YEAR(Ne1Kvě+38)=RokKalendáře,MONTH(Ne1Kvě+38)=5),Ne1Kvě+38,""))</f>
        <v/>
      </c>
      <c r="F40" s="44" t="str">
        <f ca="1">IF(DAY(Ne1Kvě)=1,IF(AND(YEAR(Ne1Kvě+32)=RokKalendáře,MONTH(Ne1Kvě+32)=5),Ne1Kvě+32,""),IF(AND(YEAR(Ne1Kvě+39)=RokKalendáře,MONTH(Ne1Kvě+39)=5),Ne1Kvě+39,""))</f>
        <v/>
      </c>
      <c r="G40" s="44" t="str">
        <f ca="1">IF(DAY(Ne1Kvě)=1,IF(AND(YEAR(Ne1Kvě+33)=RokKalendáře,MONTH(Ne1Kvě+33)=5),Ne1Kvě+33,""),IF(AND(YEAR(Ne1Kvě+40)=RokKalendáře,MONTH(Ne1Kvě+40)=5),Ne1Kvě+40,""))</f>
        <v/>
      </c>
      <c r="H40" s="44" t="str">
        <f ca="1">IF(DAY(Ne1Kvě)=1,IF(AND(YEAR(Ne1Kvě+34)=RokKalendáře,MONTH(Ne1Kvě+34)=5),Ne1Kvě+34,""),IF(AND(YEAR(Ne1Kvě+41)=RokKalendáře,MONTH(Ne1Kvě+41)=5),Ne1Kvě+41,""))</f>
        <v/>
      </c>
      <c r="I40" s="44" t="str">
        <f ca="1">IF(DAY(Ne1Kvě)=1,IF(AND(YEAR(Ne1Kvě+35)=RokKalendáře,MONTH(Ne1Kvě+35)=5),Ne1Kvě+35,""),IF(AND(YEAR(Ne1Kvě+42)=RokKalendáře,MONTH(Ne1Kvě+42)=5),Ne1Kvě+42,""))</f>
        <v/>
      </c>
      <c r="J40" s="36"/>
      <c r="K40" s="35"/>
      <c r="L40" s="44" t="str">
        <f ca="1">IF(DAY(Ne1Čer)=1,IF(AND(YEAR(Ne1Čer+29)=RokKalendáře,MONTH(Ne1Čer+29)=6),Ne1Čer+29,""),IF(AND(YEAR(Ne1Čer+36)=RokKalendáře,MONTH(Ne1Čer+36)=6),Ne1Čer+36,""))</f>
        <v/>
      </c>
      <c r="M40" s="44" t="str">
        <f ca="1">IF(DAY(Ne1Čer)=1,IF(AND(YEAR(Ne1Čer+30)=RokKalendáře,MONTH(Ne1Čer+30)=6),Ne1Čer+30,""),IF(AND(YEAR(Ne1Čer+37)=RokKalendáře,MONTH(Ne1Čer+37)=6),Ne1Čer+37,""))</f>
        <v/>
      </c>
      <c r="N40" s="44" t="str">
        <f ca="1">IF(DAY(Ne1Čer)=1,IF(AND(YEAR(Ne1Čer+31)=RokKalendáře,MONTH(Ne1Čer+31)=6),Ne1Čer+31,""),IF(AND(YEAR(Ne1Čer+38)=RokKalendáře,MONTH(Ne1Čer+38)=6),Ne1Čer+38,""))</f>
        <v/>
      </c>
      <c r="O40" s="44" t="str">
        <f ca="1">IF(DAY(Ne1Čer)=1,IF(AND(YEAR(Ne1Čer+32)=RokKalendáře,MONTH(Ne1Čer+32)=6),Ne1Čer+32,""),IF(AND(YEAR(Ne1Čer+39)=RokKalendáře,MONTH(Ne1Čer+39)=6),Ne1Čer+39,""))</f>
        <v/>
      </c>
      <c r="P40" s="44" t="str">
        <f ca="1">IF(DAY(Ne1Čer)=1,IF(AND(YEAR(Ne1Čer+33)=RokKalendáře,MONTH(Ne1Čer+33)=6),Ne1Čer+33,""),IF(AND(YEAR(Ne1Čer+40)=RokKalendáře,MONTH(Ne1Čer+40)=6),Ne1Čer+40,""))</f>
        <v/>
      </c>
      <c r="Q40" s="44" t="str">
        <f ca="1">IF(DAY(Ne1Čer)=1,IF(AND(YEAR(Ne1Čer+34)=RokKalendáře,MONTH(Ne1Čer+34)=6),Ne1Čer+34,""),IF(AND(YEAR(Ne1Čer+41)=RokKalendáře,MONTH(Ne1Čer+41)=6),Ne1Čer+41,""))</f>
        <v/>
      </c>
      <c r="R40" s="44" t="str">
        <f ca="1">IF(DAY(Ne1Čer)=1,IF(AND(YEAR(Ne1Čer+35)=RokKalendáře,MONTH(Ne1Čer+35)=6),Ne1Čer+35,""),IF(AND(YEAR(Ne1Čer+42)=RokKalendáře,MONTH(Ne1Čer+42)=6),Ne1Čer+42,""))</f>
        <v/>
      </c>
      <c r="S40" s="36"/>
      <c r="T40" s="40"/>
      <c r="U40" s="44" t="str">
        <f ca="1">IF(DAY(Ne1Čvc)=1,IF(AND(YEAR(Ne1Čvc+29)=RokKalendáře,MONTH(Ne1Čvc+29)=7),Ne1Čvc+29,""),IF(AND(YEAR(Ne1Čvc+36)=RokKalendáře,MONTH(Ne1Čvc+36)=7),Ne1Čvc+36,""))</f>
        <v/>
      </c>
      <c r="V40" s="44" t="str">
        <f ca="1">IF(DAY(Ne1Čvc)=1,IF(AND(YEAR(Ne1Čvc+30)=RokKalendáře,MONTH(Ne1Čvc+30)=7),Ne1Čvc+30,""),IF(AND(YEAR(Ne1Čvc+37)=RokKalendáře,MONTH(Ne1Čvc+37)=7),Ne1Čvc+37,""))</f>
        <v/>
      </c>
      <c r="W40" s="44" t="str">
        <f ca="1">IF(DAY(Ne1Čvc)=1,IF(AND(YEAR(Ne1Čvc+31)=RokKalendáře,MONTH(Ne1Čvc+31)=7),Ne1Čvc+31,""),IF(AND(YEAR(Ne1Čvc+38)=RokKalendáře,MONTH(Ne1Čvc+38)=7),Ne1Čvc+38,""))</f>
        <v/>
      </c>
      <c r="X40" s="44" t="str">
        <f ca="1">IF(DAY(Ne1Čvc)=1,IF(AND(YEAR(Ne1Čvc+32)=RokKalendáře,MONTH(Ne1Čvc+32)=7),Ne1Čvc+32,""),IF(AND(YEAR(Ne1Čvc+39)=RokKalendáře,MONTH(Ne1Čvc+39)=7),Ne1Čvc+39,""))</f>
        <v/>
      </c>
      <c r="Y40" s="44" t="str">
        <f ca="1">IF(DAY(Ne1Čvc)=1,IF(AND(YEAR(Ne1Čvc+33)=RokKalendáře,MONTH(Ne1Čvc+33)=7),Ne1Čvc+33,""),IF(AND(YEAR(Ne1Čvc+40)=RokKalendáře,MONTH(Ne1Čvc+40)=7),Ne1Čvc+40,""))</f>
        <v/>
      </c>
      <c r="Z40" s="44" t="str">
        <f ca="1">IF(DAY(Ne1Čvc)=1,IF(AND(YEAR(Ne1Čvc+34)=RokKalendáře,MONTH(Ne1Čvc+34)=7),Ne1Čvc+34,""),IF(AND(YEAR(Ne1Čvc+41)=RokKalendáře,MONTH(Ne1Čvc+41)=7),Ne1Čvc+41,""))</f>
        <v/>
      </c>
      <c r="AA40" s="44" t="str">
        <f ca="1">IF(DAY(Ne1Čvc)=1,IF(AND(YEAR(Ne1Čvc+35)=RokKalendáře,MONTH(Ne1Čvc+35)=7),Ne1Čvc+35,""),IF(AND(YEAR(Ne1Čvc+42)=RokKalendáře,MONTH(Ne1Čvc+42)=7),Ne1Čvc+42,""))</f>
        <v/>
      </c>
      <c r="AB40" s="36"/>
      <c r="AC40" s="39"/>
      <c r="AD40" s="44" t="str">
        <f ca="1">IF(DAY(Ne1Srp)=1,IF(AND(YEAR(Ne1Srp+29)=RokKalendáře,MONTH(Ne1Srp+29)=8),Ne1Srp+29,""),IF(AND(YEAR(Ne1Srp+36)=RokKalendáře,MONTH(Ne1Srp+36)=8),Ne1Srp+36,""))</f>
        <v/>
      </c>
      <c r="AE40" s="44" t="str">
        <f ca="1">IF(DAY(Ne1Srp)=1,IF(AND(YEAR(Ne1Srp+30)=RokKalendáře,MONTH(Ne1Srp+30)=8),Ne1Srp+30,""),IF(AND(YEAR(Ne1Srp+37)=RokKalendáře,MONTH(Ne1Srp+37)=8),Ne1Srp+37,""))</f>
        <v/>
      </c>
      <c r="AF40" s="44" t="str">
        <f ca="1">IF(DAY(Ne1Srp)=1,IF(AND(YEAR(Ne1Srp+31)=RokKalendáře,MONTH(Ne1Srp+31)=8),Ne1Srp+31,""),IF(AND(YEAR(Ne1Srp+38)=RokKalendáře,MONTH(Ne1Srp+38)=8),Ne1Srp+38,""))</f>
        <v/>
      </c>
      <c r="AG40" s="44" t="str">
        <f ca="1">IF(DAY(Ne1Srp)=1,IF(AND(YEAR(Ne1Srp+32)=RokKalendáře,MONTH(Ne1Srp+32)=8),Ne1Srp+32,""),IF(AND(YEAR(Ne1Srp+39)=RokKalendáře,MONTH(Ne1Srp+39)=8),Ne1Srp+39,""))</f>
        <v/>
      </c>
      <c r="AH40" s="44" t="str">
        <f ca="1">IF(DAY(Ne1Srp)=1,IF(AND(YEAR(Ne1Srp+33)=RokKalendáře,MONTH(Ne1Srp+33)=8),Ne1Srp+33,""),IF(AND(YEAR(Ne1Srp+40)=RokKalendáře,MONTH(Ne1Srp+40)=8),Ne1Srp+40,""))</f>
        <v/>
      </c>
      <c r="AI40" s="44" t="str">
        <f ca="1">IF(DAY(Ne1Srp)=1,IF(AND(YEAR(Ne1Srp+34)=RokKalendáře,MONTH(Ne1Srp+34)=8),Ne1Srp+34,""),IF(AND(YEAR(Ne1Srp+41)=RokKalendáře,MONTH(Ne1Srp+41)=8),Ne1Srp+41,""))</f>
        <v/>
      </c>
      <c r="AJ40" s="44" t="str">
        <f ca="1">IF(DAY(Ne1Srp)=1,IF(AND(YEAR(Ne1Srp+35)=RokKalendáře,MONTH(Ne1Srp+35)=8),Ne1Srp+35,""),IF(AND(YEAR(Ne1Srp+42)=RokKalendáře,MONTH(Ne1Srp+42)=8),Ne1Srp+42,""))</f>
        <v/>
      </c>
    </row>
    <row r="41" spans="1:36" ht="15" x14ac:dyDescent="0.2">
      <c r="A41" s="26" t="s">
        <v>16</v>
      </c>
      <c r="C41" s="39"/>
      <c r="D41" s="39"/>
      <c r="E41" s="39"/>
      <c r="F41" s="39"/>
      <c r="G41" s="39"/>
      <c r="H41" s="39"/>
      <c r="I41" s="39"/>
      <c r="J41" s="38"/>
      <c r="K41" s="35"/>
      <c r="L41" s="39"/>
      <c r="M41" s="39"/>
      <c r="N41" s="39"/>
      <c r="O41" s="39"/>
      <c r="P41" s="39"/>
      <c r="Q41" s="39"/>
      <c r="R41" s="39"/>
      <c r="S41" s="38"/>
      <c r="T41" s="40"/>
      <c r="U41" s="35"/>
      <c r="V41" s="35"/>
      <c r="W41" s="35"/>
      <c r="X41" s="35"/>
      <c r="Y41" s="35"/>
      <c r="Z41" s="35"/>
      <c r="AA41" s="35"/>
      <c r="AB41" s="36"/>
      <c r="AC41" s="39"/>
      <c r="AD41" s="35"/>
      <c r="AE41" s="35"/>
      <c r="AF41" s="35"/>
      <c r="AG41" s="35"/>
      <c r="AH41" s="35"/>
      <c r="AI41" s="35"/>
      <c r="AJ41" s="35"/>
    </row>
    <row r="42" spans="1:36" ht="15.75" x14ac:dyDescent="0.25">
      <c r="A42" s="26" t="s">
        <v>17</v>
      </c>
      <c r="C42" s="45">
        <f ca="1">DATE(RokKalendáře,9,1)</f>
        <v>43709</v>
      </c>
      <c r="D42" s="45"/>
      <c r="E42" s="45"/>
      <c r="F42" s="45"/>
      <c r="G42" s="45"/>
      <c r="H42" s="45"/>
      <c r="I42" s="45"/>
      <c r="J42" s="32"/>
      <c r="K42" s="39"/>
      <c r="L42" s="45">
        <f ca="1">DATE(RokKalendáře,10,1)</f>
        <v>43739</v>
      </c>
      <c r="M42" s="45"/>
      <c r="N42" s="45"/>
      <c r="O42" s="45"/>
      <c r="P42" s="45"/>
      <c r="Q42" s="45"/>
      <c r="R42" s="45"/>
      <c r="S42" s="32"/>
      <c r="T42" s="40"/>
      <c r="U42" s="45">
        <f ca="1">DATE(RokKalendáře,11,1)</f>
        <v>43770</v>
      </c>
      <c r="V42" s="45"/>
      <c r="W42" s="45"/>
      <c r="X42" s="45"/>
      <c r="Y42" s="45"/>
      <c r="Z42" s="45"/>
      <c r="AA42" s="45"/>
      <c r="AB42" s="32"/>
      <c r="AC42" s="39"/>
      <c r="AD42" s="45">
        <f ca="1">DATE(RokKalendáře,12,1)</f>
        <v>43800</v>
      </c>
      <c r="AE42" s="45"/>
      <c r="AF42" s="45"/>
      <c r="AG42" s="45"/>
      <c r="AH42" s="45"/>
      <c r="AI42" s="45"/>
      <c r="AJ42" s="45"/>
    </row>
    <row r="43" spans="1:36" ht="15" x14ac:dyDescent="0.25">
      <c r="A43" s="26" t="s">
        <v>18</v>
      </c>
      <c r="C43" s="21" t="s">
        <v>20</v>
      </c>
      <c r="D43" s="21" t="s">
        <v>23</v>
      </c>
      <c r="E43" s="21" t="s">
        <v>24</v>
      </c>
      <c r="F43" s="21" t="s">
        <v>25</v>
      </c>
      <c r="G43" s="21" t="s">
        <v>26</v>
      </c>
      <c r="H43" s="21" t="s">
        <v>29</v>
      </c>
      <c r="I43" s="21" t="s">
        <v>30</v>
      </c>
      <c r="J43" s="34"/>
      <c r="K43" s="39"/>
      <c r="L43" s="21" t="s">
        <v>20</v>
      </c>
      <c r="M43" s="21" t="s">
        <v>23</v>
      </c>
      <c r="N43" s="21" t="s">
        <v>24</v>
      </c>
      <c r="O43" s="21" t="s">
        <v>25</v>
      </c>
      <c r="P43" s="21" t="s">
        <v>26</v>
      </c>
      <c r="Q43" s="21" t="s">
        <v>29</v>
      </c>
      <c r="R43" s="21" t="s">
        <v>30</v>
      </c>
      <c r="S43" s="34"/>
      <c r="T43" s="40"/>
      <c r="U43" s="21" t="s">
        <v>20</v>
      </c>
      <c r="V43" s="21" t="s">
        <v>23</v>
      </c>
      <c r="W43" s="21" t="s">
        <v>24</v>
      </c>
      <c r="X43" s="21" t="s">
        <v>25</v>
      </c>
      <c r="Y43" s="21" t="s">
        <v>26</v>
      </c>
      <c r="Z43" s="21" t="s">
        <v>29</v>
      </c>
      <c r="AA43" s="21" t="s">
        <v>30</v>
      </c>
      <c r="AB43" s="34"/>
      <c r="AC43" s="42"/>
      <c r="AD43" s="21" t="s">
        <v>20</v>
      </c>
      <c r="AE43" s="21" t="s">
        <v>23</v>
      </c>
      <c r="AF43" s="21" t="s">
        <v>24</v>
      </c>
      <c r="AG43" s="21" t="s">
        <v>25</v>
      </c>
      <c r="AH43" s="21" t="s">
        <v>26</v>
      </c>
      <c r="AI43" s="21" t="s">
        <v>29</v>
      </c>
      <c r="AJ43" s="21" t="s">
        <v>30</v>
      </c>
    </row>
    <row r="44" spans="1:36" ht="15" x14ac:dyDescent="0.2">
      <c r="A44" s="26" t="s">
        <v>19</v>
      </c>
      <c r="C44" s="44" t="str">
        <f ca="1">IF(DAY(Ne1Zář)=1,"",IF(AND(YEAR(Ne1Zář+1)=RokKalendáře,MONTH(Ne1Zář+1)=9),Ne1Zář+1,""))</f>
        <v/>
      </c>
      <c r="D44" s="44" t="str">
        <f ca="1">IF(DAY(Ne1Zář)=1,"",IF(AND(YEAR(Ne1Zář+2)=RokKalendáře,MONTH(Ne1Zář+2)=9),Ne1Zář+2,""))</f>
        <v/>
      </c>
      <c r="E44" s="44" t="str">
        <f ca="1">IF(DAY(Ne1Zář)=1,"",IF(AND(YEAR(Ne1Zář+3)=RokKalendáře,MONTH(Ne1Zář+3)=9),Ne1Zář+3,""))</f>
        <v/>
      </c>
      <c r="F44" s="44" t="str">
        <f ca="1">IF(DAY(Ne1Zář)=1,"",IF(AND(YEAR(Ne1Zář+4)=RokKalendáře,MONTH(Ne1Zář+4)=9),Ne1Zář+4,""))</f>
        <v/>
      </c>
      <c r="G44" s="44" t="str">
        <f ca="1">IF(DAY(Ne1Zář)=1,"",IF(AND(YEAR(Ne1Zář+5)=RokKalendáře,MONTH(Ne1Zář+5)=9),Ne1Zář+5,""))</f>
        <v/>
      </c>
      <c r="H44" s="44" t="str">
        <f ca="1">IF(DAY(Ne1Zář)=1,"",IF(AND(YEAR(Ne1Zář+6)=RokKalendáře,MONTH(Ne1Zář+6)=9),Ne1Zář+6,""))</f>
        <v/>
      </c>
      <c r="I44" s="44">
        <f ca="1">IF(DAY(Ne1Zář)=1,IF(AND(YEAR(Ne1Zář)=RokKalendáře,MONTH(Ne1Zář)=9),Ne1Zář,""),IF(AND(YEAR(Ne1Zář+7)=RokKalendáře,MONTH(Ne1Zář+7)=9),Ne1Zář+7,""))</f>
        <v>43709</v>
      </c>
      <c r="J44" s="36"/>
      <c r="K44" s="39"/>
      <c r="L44" s="44" t="str">
        <f ca="1">IF(DAY(Ne1Říj)=1,"",IF(AND(YEAR(Ne1Říj+1)=RokKalendáře,MONTH(Ne1Říj+1)=10),Ne1Říj+1,""))</f>
        <v/>
      </c>
      <c r="M44" s="44">
        <f ca="1">IF(DAY(Ne1Říj)=1,"",IF(AND(YEAR(Ne1Říj+2)=RokKalendáře,MONTH(Ne1Říj+2)=10),Ne1Říj+2,""))</f>
        <v>43739</v>
      </c>
      <c r="N44" s="44">
        <f ca="1">IF(DAY(Ne1Říj)=1,"",IF(AND(YEAR(Ne1Říj+3)=RokKalendáře,MONTH(Ne1Říj+3)=10),Ne1Říj+3,""))</f>
        <v>43740</v>
      </c>
      <c r="O44" s="44">
        <f ca="1">IF(DAY(Ne1Říj)=1,"",IF(AND(YEAR(Ne1Říj+4)=RokKalendáře,MONTH(Ne1Říj+4)=10),Ne1Říj+4,""))</f>
        <v>43741</v>
      </c>
      <c r="P44" s="44">
        <f ca="1">IF(DAY(Ne1Říj)=1,"",IF(AND(YEAR(Ne1Říj+5)=RokKalendáře,MONTH(Ne1Říj+5)=10),Ne1Říj+5,""))</f>
        <v>43742</v>
      </c>
      <c r="Q44" s="44">
        <f ca="1">IF(DAY(Ne1Říj)=1,"",IF(AND(YEAR(Ne1Říj+6)=RokKalendáře,MONTH(Ne1Říj+6)=10),Ne1Říj+6,""))</f>
        <v>43743</v>
      </c>
      <c r="R44" s="44">
        <f ca="1">IF(DAY(Ne1Říj)=1,IF(AND(YEAR(Ne1Říj)=RokKalendáře,MONTH(Ne1Říj)=10),Ne1Říj,""),IF(AND(YEAR(Ne1Říj+7)=RokKalendáře,MONTH(Ne1Říj+7)=10),Ne1Říj+7,""))</f>
        <v>43744</v>
      </c>
      <c r="S44" s="36"/>
      <c r="T44" s="40"/>
      <c r="U44" s="44" t="str">
        <f ca="1">IF(DAY(Ne1Lis)=1,"",IF(AND(YEAR(Ne1Lis+1)=RokKalendáře,MONTH(Ne1Lis+1)=11),Ne1Lis+1,""))</f>
        <v/>
      </c>
      <c r="V44" s="44" t="str">
        <f ca="1">IF(DAY(Ne1Lis)=1,"",IF(AND(YEAR(Ne1Lis+2)=RokKalendáře,MONTH(Ne1Lis+2)=11),Ne1Lis+2,""))</f>
        <v/>
      </c>
      <c r="W44" s="44" t="str">
        <f ca="1">IF(DAY(Ne1Lis)=1,"",IF(AND(YEAR(Ne1Lis+3)=RokKalendáře,MONTH(Ne1Lis+3)=11),Ne1Lis+3,""))</f>
        <v/>
      </c>
      <c r="X44" s="44" t="str">
        <f ca="1">IF(DAY(Ne1Lis)=1,"",IF(AND(YEAR(Ne1Lis+4)=RokKalendáře,MONTH(Ne1Lis+4)=11),Ne1Lis+4,""))</f>
        <v/>
      </c>
      <c r="Y44" s="44">
        <f ca="1">IF(DAY(Ne1Lis)=1,"",IF(AND(YEAR(Ne1Lis+5)=RokKalendáře,MONTH(Ne1Lis+5)=11),Ne1Lis+5,""))</f>
        <v>43770</v>
      </c>
      <c r="Z44" s="44">
        <f ca="1">IF(DAY(Ne1Lis)=1,"",IF(AND(YEAR(Ne1Lis+6)=RokKalendáře,MONTH(Ne1Lis+6)=11),Ne1Lis+6,""))</f>
        <v>43771</v>
      </c>
      <c r="AA44" s="44">
        <f ca="1">IF(DAY(Ne1Lis)=1,IF(AND(YEAR(Ne1Lis)=RokKalendáře,MONTH(Ne1Lis)=11),Ne1Lis,""),IF(AND(YEAR(Ne1Lis+7)=RokKalendáře,MONTH(Ne1Lis+7)=11),Ne1Lis+7,""))</f>
        <v>43772</v>
      </c>
      <c r="AB44" s="36"/>
      <c r="AC44" s="39"/>
      <c r="AD44" s="44" t="str">
        <f ca="1">IF(DAY(Ne1Pro)=1,"",IF(AND(YEAR(Ne1Pro+1)=RokKalendáře,MONTH(Ne1Pro+1)=12),Ne1Pro+1,""))</f>
        <v/>
      </c>
      <c r="AE44" s="44" t="str">
        <f ca="1">IF(DAY(Ne1Pro)=1,"",IF(AND(YEAR(Ne1Pro+2)=RokKalendáře,MONTH(Ne1Pro+2)=12),Ne1Pro+2,""))</f>
        <v/>
      </c>
      <c r="AF44" s="44" t="str">
        <f ca="1">IF(DAY(Ne1Pro)=1,"",IF(AND(YEAR(Ne1Pro+3)=RokKalendáře,MONTH(Ne1Pro+3)=12),Ne1Pro+3,""))</f>
        <v/>
      </c>
      <c r="AG44" s="44" t="str">
        <f ca="1">IF(DAY(Ne1Pro)=1,"",IF(AND(YEAR(Ne1Pro+4)=RokKalendáře,MONTH(Ne1Pro+4)=12),Ne1Pro+4,""))</f>
        <v/>
      </c>
      <c r="AH44" s="44" t="str">
        <f ca="1">IF(DAY(Ne1Pro)=1,"",IF(AND(YEAR(Ne1Pro+5)=RokKalendáře,MONTH(Ne1Pro+5)=12),Ne1Pro+5,""))</f>
        <v/>
      </c>
      <c r="AI44" s="44" t="str">
        <f ca="1">IF(DAY(Ne1Pro)=1,"",IF(AND(YEAR(Ne1Pro+6)=RokKalendáře,MONTH(Ne1Pro+6)=12),Ne1Pro+6,""))</f>
        <v/>
      </c>
      <c r="AJ44" s="44">
        <f ca="1">IF(DAY(Ne1Pro)=1,IF(AND(YEAR(Ne1Pro)=RokKalendáře,MONTH(Ne1Pro)=12),Ne1Pro,""),IF(AND(YEAR(Ne1Pro+7)=RokKalendáře,MONTH(Ne1Pro+7)=12),Ne1Pro+7,""))</f>
        <v>43800</v>
      </c>
    </row>
    <row r="45" spans="1:36" x14ac:dyDescent="0.2">
      <c r="C45" s="44">
        <f ca="1">IF(DAY(Ne1Zář)=1,IF(AND(YEAR(Ne1Zář+1)=RokKalendáře,MONTH(Ne1Zář+1)=9),Ne1Zář+1,""),IF(AND(YEAR(Ne1Zář+8)=RokKalendáře,MONTH(Ne1Zář+8)=9),Ne1Zář+8,""))</f>
        <v>43710</v>
      </c>
      <c r="D45" s="44">
        <f ca="1">IF(DAY(Ne1Zář)=1,IF(AND(YEAR(Ne1Zář+2)=RokKalendáře,MONTH(Ne1Zář+2)=9),Ne1Zář+2,""),IF(AND(YEAR(Ne1Zář+9)=RokKalendáře,MONTH(Ne1Zář+9)=9),Ne1Zář+9,""))</f>
        <v>43711</v>
      </c>
      <c r="E45" s="44">
        <f ca="1">IF(DAY(Ne1Zář)=1,IF(AND(YEAR(Ne1Zář+3)=RokKalendáře,MONTH(Ne1Zář+3)=9),Ne1Zář+3,""),IF(AND(YEAR(Ne1Zář+10)=RokKalendáře,MONTH(Ne1Zář+10)=9),Ne1Zář+10,""))</f>
        <v>43712</v>
      </c>
      <c r="F45" s="44">
        <f ca="1">IF(DAY(Ne1Zář)=1,IF(AND(YEAR(Ne1Zář+4)=RokKalendáře,MONTH(Ne1Zář+4)=9),Ne1Zář+4,""),IF(AND(YEAR(Ne1Zář+11)=RokKalendáře,MONTH(Ne1Zář+11)=9),Ne1Zář+11,""))</f>
        <v>43713</v>
      </c>
      <c r="G45" s="44">
        <f ca="1">IF(DAY(Ne1Zář)=1,IF(AND(YEAR(Ne1Zář+5)=RokKalendáře,MONTH(Ne1Zář+5)=9),Ne1Zář+5,""),IF(AND(YEAR(Ne1Zář+12)=RokKalendáře,MONTH(Ne1Zář+12)=9),Ne1Zář+12,""))</f>
        <v>43714</v>
      </c>
      <c r="H45" s="44">
        <f ca="1">IF(DAY(Ne1Zář)=1,IF(AND(YEAR(Ne1Zář+6)=RokKalendáře,MONTH(Ne1Zář+6)=9),Ne1Zář+6,""),IF(AND(YEAR(Ne1Zář+13)=RokKalendáře,MONTH(Ne1Zář+13)=9),Ne1Zář+13,""))</f>
        <v>43715</v>
      </c>
      <c r="I45" s="44">
        <f ca="1">IF(DAY(Ne1Zář)=1,IF(AND(YEAR(Ne1Zář+7)=RokKalendáře,MONTH(Ne1Zář+7)=9),Ne1Zář+7,""),IF(AND(YEAR(Ne1Zář+14)=RokKalendáře,MONTH(Ne1Zář+14)=9),Ne1Zář+14,""))</f>
        <v>43716</v>
      </c>
      <c r="J45" s="36"/>
      <c r="K45" s="39"/>
      <c r="L45" s="44">
        <f ca="1">IF(DAY(Ne1Říj)=1,IF(AND(YEAR(Ne1Říj+1)=RokKalendáře,MONTH(Ne1Říj+1)=10),Ne1Říj+1,""),IF(AND(YEAR(Ne1Říj+8)=RokKalendáře,MONTH(Ne1Říj+8)=10),Ne1Říj+8,""))</f>
        <v>43745</v>
      </c>
      <c r="M45" s="44">
        <f ca="1">IF(DAY(Ne1Říj)=1,IF(AND(YEAR(Ne1Říj+2)=RokKalendáře,MONTH(Ne1Říj+2)=10),Ne1Říj+2,""),IF(AND(YEAR(Ne1Říj+9)=RokKalendáře,MONTH(Ne1Říj+9)=10),Ne1Říj+9,""))</f>
        <v>43746</v>
      </c>
      <c r="N45" s="44">
        <f ca="1">IF(DAY(Ne1Říj)=1,IF(AND(YEAR(Ne1Říj+3)=RokKalendáře,MONTH(Ne1Říj+3)=10),Ne1Říj+3,""),IF(AND(YEAR(Ne1Říj+10)=RokKalendáře,MONTH(Ne1Říj+10)=10),Ne1Říj+10,""))</f>
        <v>43747</v>
      </c>
      <c r="O45" s="44">
        <f ca="1">IF(DAY(Ne1Říj)=1,IF(AND(YEAR(Ne1Říj+4)=RokKalendáře,MONTH(Ne1Říj+4)=10),Ne1Říj+4,""),IF(AND(YEAR(Ne1Říj+11)=RokKalendáře,MONTH(Ne1Říj+11)=10),Ne1Říj+11,""))</f>
        <v>43748</v>
      </c>
      <c r="P45" s="44">
        <f ca="1">IF(DAY(Ne1Říj)=1,IF(AND(YEAR(Ne1Říj+5)=RokKalendáře,MONTH(Ne1Říj+5)=10),Ne1Říj+5,""),IF(AND(YEAR(Ne1Říj+12)=RokKalendáře,MONTH(Ne1Říj+12)=10),Ne1Říj+12,""))</f>
        <v>43749</v>
      </c>
      <c r="Q45" s="44">
        <f ca="1">IF(DAY(Ne1Říj)=1,IF(AND(YEAR(Ne1Říj+6)=RokKalendáře,MONTH(Ne1Říj+6)=10),Ne1Říj+6,""),IF(AND(YEAR(Ne1Říj+13)=RokKalendáře,MONTH(Ne1Říj+13)=10),Ne1Říj+13,""))</f>
        <v>43750</v>
      </c>
      <c r="R45" s="44">
        <f ca="1">IF(DAY(Ne1Říj)=1,IF(AND(YEAR(Ne1Říj+7)=RokKalendáře,MONTH(Ne1Říj+7)=10),Ne1Říj+7,""),IF(AND(YEAR(Ne1Říj+14)=RokKalendáře,MONTH(Ne1Říj+14)=10),Ne1Říj+14,""))</f>
        <v>43751</v>
      </c>
      <c r="S45" s="36"/>
      <c r="T45" s="40"/>
      <c r="U45" s="44">
        <f ca="1">IF(DAY(Ne1Lis)=1,IF(AND(YEAR(Ne1Lis+1)=RokKalendáře,MONTH(Ne1Lis+1)=11),Ne1Lis+1,""),IF(AND(YEAR(Ne1Lis+8)=RokKalendáře,MONTH(Ne1Lis+8)=11),Ne1Lis+8,""))</f>
        <v>43773</v>
      </c>
      <c r="V45" s="44">
        <f ca="1">IF(DAY(Ne1Lis)=1,IF(AND(YEAR(Ne1Lis+2)=RokKalendáře,MONTH(Ne1Lis+2)=11),Ne1Lis+2,""),IF(AND(YEAR(Ne1Lis+9)=RokKalendáře,MONTH(Ne1Lis+9)=11),Ne1Lis+9,""))</f>
        <v>43774</v>
      </c>
      <c r="W45" s="44">
        <f ca="1">IF(DAY(Ne1Lis)=1,IF(AND(YEAR(Ne1Lis+3)=RokKalendáře,MONTH(Ne1Lis+3)=11),Ne1Lis+3,""),IF(AND(YEAR(Ne1Lis+10)=RokKalendáře,MONTH(Ne1Lis+10)=11),Ne1Lis+10,""))</f>
        <v>43775</v>
      </c>
      <c r="X45" s="44">
        <f ca="1">IF(DAY(Ne1Lis)=1,IF(AND(YEAR(Ne1Lis+4)=RokKalendáře,MONTH(Ne1Lis+4)=11),Ne1Lis+4,""),IF(AND(YEAR(Ne1Lis+11)=RokKalendáře,MONTH(Ne1Lis+11)=11),Ne1Lis+11,""))</f>
        <v>43776</v>
      </c>
      <c r="Y45" s="44">
        <f ca="1">IF(DAY(Ne1Lis)=1,IF(AND(YEAR(Ne1Lis+5)=RokKalendáře,MONTH(Ne1Lis+5)=11),Ne1Lis+5,""),IF(AND(YEAR(Ne1Lis+12)=RokKalendáře,MONTH(Ne1Lis+12)=11),Ne1Lis+12,""))</f>
        <v>43777</v>
      </c>
      <c r="Z45" s="44">
        <f ca="1">IF(DAY(Ne1Lis)=1,IF(AND(YEAR(Ne1Lis+6)=RokKalendáře,MONTH(Ne1Lis+6)=11),Ne1Lis+6,""),IF(AND(YEAR(Ne1Lis+13)=RokKalendáře,MONTH(Ne1Lis+13)=11),Ne1Lis+13,""))</f>
        <v>43778</v>
      </c>
      <c r="AA45" s="44">
        <f ca="1">IF(DAY(Ne1Lis)=1,IF(AND(YEAR(Ne1Lis+7)=RokKalendáře,MONTH(Ne1Lis+7)=11),Ne1Lis+7,""),IF(AND(YEAR(Ne1Lis+14)=RokKalendáře,MONTH(Ne1Lis+14)=11),Ne1Lis+14,""))</f>
        <v>43779</v>
      </c>
      <c r="AB45" s="36"/>
      <c r="AC45" s="39"/>
      <c r="AD45" s="44">
        <f ca="1">IF(DAY(Ne1Pro)=1,IF(AND(YEAR(Ne1Pro+1)=RokKalendáře,MONTH(Ne1Pro+1)=12),Ne1Pro+1,""),IF(AND(YEAR(Ne1Pro+8)=RokKalendáře,MONTH(Ne1Pro+8)=12),Ne1Pro+8,""))</f>
        <v>43801</v>
      </c>
      <c r="AE45" s="44">
        <f ca="1">IF(DAY(Ne1Pro)=1,IF(AND(YEAR(Ne1Pro+2)=RokKalendáře,MONTH(Ne1Pro+2)=12),Ne1Pro+2,""),IF(AND(YEAR(Ne1Pro+9)=RokKalendáře,MONTH(Ne1Pro+9)=12),Ne1Pro+9,""))</f>
        <v>43802</v>
      </c>
      <c r="AF45" s="44">
        <f ca="1">IF(DAY(Ne1Pro)=1,IF(AND(YEAR(Ne1Pro+3)=RokKalendáře,MONTH(Ne1Pro+3)=12),Ne1Pro+3,""),IF(AND(YEAR(Ne1Pro+10)=RokKalendáře,MONTH(Ne1Pro+10)=12),Ne1Pro+10,""))</f>
        <v>43803</v>
      </c>
      <c r="AG45" s="44">
        <f ca="1">IF(DAY(Ne1Pro)=1,IF(AND(YEAR(Ne1Pro+4)=RokKalendáře,MONTH(Ne1Pro+4)=12),Ne1Pro+4,""),IF(AND(YEAR(Ne1Pro+11)=RokKalendáře,MONTH(Ne1Pro+11)=12),Ne1Pro+11,""))</f>
        <v>43804</v>
      </c>
      <c r="AH45" s="44">
        <f ca="1">IF(DAY(Ne1Pro)=1,IF(AND(YEAR(Ne1Pro+5)=RokKalendáře,MONTH(Ne1Pro+5)=12),Ne1Pro+5,""),IF(AND(YEAR(Ne1Pro+12)=RokKalendáře,MONTH(Ne1Pro+12)=12),Ne1Pro+12,""))</f>
        <v>43805</v>
      </c>
      <c r="AI45" s="44">
        <f ca="1">IF(DAY(Ne1Pro)=1,IF(AND(YEAR(Ne1Pro+6)=RokKalendáře,MONTH(Ne1Pro+6)=12),Ne1Pro+6,""),IF(AND(YEAR(Ne1Pro+13)=RokKalendáře,MONTH(Ne1Pro+13)=12),Ne1Pro+13,""))</f>
        <v>43806</v>
      </c>
      <c r="AJ45" s="44">
        <f ca="1">IF(DAY(Ne1Pro)=1,IF(AND(YEAR(Ne1Pro+7)=RokKalendáře,MONTH(Ne1Pro+7)=12),Ne1Pro+7,""),IF(AND(YEAR(Ne1Pro+14)=RokKalendáře,MONTH(Ne1Pro+14)=12),Ne1Pro+14,""))</f>
        <v>43807</v>
      </c>
    </row>
    <row r="46" spans="1:36" x14ac:dyDescent="0.2">
      <c r="C46" s="44">
        <f ca="1">IF(DAY(Ne1Zář)=1,IF(AND(YEAR(Ne1Zář+8)=RokKalendáře,MONTH(Ne1Zář+8)=9),Ne1Zář+8,""),IF(AND(YEAR(Ne1Zář+15)=RokKalendáře,MONTH(Ne1Zář+15)=9),Ne1Zář+15,""))</f>
        <v>43717</v>
      </c>
      <c r="D46" s="44">
        <f ca="1">IF(DAY(Ne1Zář)=1,IF(AND(YEAR(Ne1Zář+9)=RokKalendáře,MONTH(Ne1Zář+9)=9),Ne1Zář+9,""),IF(AND(YEAR(Ne1Zář+16)=RokKalendáře,MONTH(Ne1Zář+16)=9),Ne1Zář+16,""))</f>
        <v>43718</v>
      </c>
      <c r="E46" s="44">
        <f ca="1">IF(DAY(Ne1Zář)=1,IF(AND(YEAR(Ne1Zář+10)=RokKalendáře,MONTH(Ne1Zář+10)=9),Ne1Zář+10,""),IF(AND(YEAR(Ne1Zář+17)=RokKalendáře,MONTH(Ne1Zář+17)=9),Ne1Zář+17,""))</f>
        <v>43719</v>
      </c>
      <c r="F46" s="44">
        <f ca="1">IF(DAY(Ne1Zář)=1,IF(AND(YEAR(Ne1Zář+11)=RokKalendáře,MONTH(Ne1Zář+11)=9),Ne1Zář+11,""),IF(AND(YEAR(Ne1Zář+18)=RokKalendáře,MONTH(Ne1Zář+18)=9),Ne1Zář+18,""))</f>
        <v>43720</v>
      </c>
      <c r="G46" s="44">
        <f ca="1">IF(DAY(Ne1Zář)=1,IF(AND(YEAR(Ne1Zář+12)=RokKalendáře,MONTH(Ne1Zář+12)=9),Ne1Zář+12,""),IF(AND(YEAR(Ne1Zář+19)=RokKalendáře,MONTH(Ne1Zář+19)=9),Ne1Zář+19,""))</f>
        <v>43721</v>
      </c>
      <c r="H46" s="44">
        <f ca="1">IF(DAY(Ne1Zář)=1,IF(AND(YEAR(Ne1Zář+13)=RokKalendáře,MONTH(Ne1Zář+13)=9),Ne1Zář+13,""),IF(AND(YEAR(Ne1Zář+20)=RokKalendáře,MONTH(Ne1Zář+20)=9),Ne1Zář+20,""))</f>
        <v>43722</v>
      </c>
      <c r="I46" s="44">
        <f ca="1">IF(DAY(Ne1Zář)=1,IF(AND(YEAR(Ne1Zář+14)=RokKalendáře,MONTH(Ne1Zář+14)=9),Ne1Zář+14,""),IF(AND(YEAR(Ne1Zář+21)=RokKalendáře,MONTH(Ne1Zář+21)=9),Ne1Zář+21,""))</f>
        <v>43723</v>
      </c>
      <c r="J46" s="36"/>
      <c r="K46" s="39"/>
      <c r="L46" s="44">
        <f ca="1">IF(DAY(Ne1Říj)=1,IF(AND(YEAR(Ne1Říj+8)=RokKalendáře,MONTH(Ne1Říj+8)=10),Ne1Říj+8,""),IF(AND(YEAR(Ne1Říj+15)=RokKalendáře,MONTH(Ne1Říj+15)=10),Ne1Říj+15,""))</f>
        <v>43752</v>
      </c>
      <c r="M46" s="44">
        <f ca="1">IF(DAY(Ne1Říj)=1,IF(AND(YEAR(Ne1Říj+9)=RokKalendáře,MONTH(Ne1Říj+9)=10),Ne1Říj+9,""),IF(AND(YEAR(Ne1Říj+16)=RokKalendáře,MONTH(Ne1Říj+16)=10),Ne1Říj+16,""))</f>
        <v>43753</v>
      </c>
      <c r="N46" s="44">
        <f ca="1">IF(DAY(Ne1Říj)=1,IF(AND(YEAR(Ne1Říj+10)=RokKalendáře,MONTH(Ne1Říj+10)=10),Ne1Říj+10,""),IF(AND(YEAR(Ne1Říj+17)=RokKalendáře,MONTH(Ne1Říj+17)=10),Ne1Říj+17,""))</f>
        <v>43754</v>
      </c>
      <c r="O46" s="44">
        <f ca="1">IF(DAY(Ne1Říj)=1,IF(AND(YEAR(Ne1Říj+11)=RokKalendáře,MONTH(Ne1Říj+11)=10),Ne1Říj+11,""),IF(AND(YEAR(Ne1Říj+18)=RokKalendáře,MONTH(Ne1Říj+18)=10),Ne1Říj+18,""))</f>
        <v>43755</v>
      </c>
      <c r="P46" s="44">
        <f ca="1">IF(DAY(Ne1Říj)=1,IF(AND(YEAR(Ne1Říj+12)=RokKalendáře,MONTH(Ne1Říj+12)=10),Ne1Říj+12,""),IF(AND(YEAR(Ne1Říj+19)=RokKalendáře,MONTH(Ne1Říj+19)=10),Ne1Říj+19,""))</f>
        <v>43756</v>
      </c>
      <c r="Q46" s="44">
        <f ca="1">IF(DAY(Ne1Říj)=1,IF(AND(YEAR(Ne1Říj+13)=RokKalendáře,MONTH(Ne1Říj+13)=10),Ne1Říj+13,""),IF(AND(YEAR(Ne1Říj+20)=RokKalendáře,MONTH(Ne1Říj+20)=10),Ne1Říj+20,""))</f>
        <v>43757</v>
      </c>
      <c r="R46" s="44">
        <f ca="1">IF(DAY(Ne1Říj)=1,IF(AND(YEAR(Ne1Říj+14)=RokKalendáře,MONTH(Ne1Říj+14)=10),Ne1Říj+14,""),IF(AND(YEAR(Ne1Říj+21)=RokKalendáře,MONTH(Ne1Říj+21)=10),Ne1Říj+21,""))</f>
        <v>43758</v>
      </c>
      <c r="S46" s="36"/>
      <c r="T46" s="40"/>
      <c r="U46" s="44">
        <f ca="1">IF(DAY(Ne1Lis)=1,IF(AND(YEAR(Ne1Lis+8)=RokKalendáře,MONTH(Ne1Lis+8)=11),Ne1Lis+8,""),IF(AND(YEAR(Ne1Lis+15)=RokKalendáře,MONTH(Ne1Lis+15)=11),Ne1Lis+15,""))</f>
        <v>43780</v>
      </c>
      <c r="V46" s="44">
        <f ca="1">IF(DAY(Ne1Lis)=1,IF(AND(YEAR(Ne1Lis+9)=RokKalendáře,MONTH(Ne1Lis+9)=11),Ne1Lis+9,""),IF(AND(YEAR(Ne1Lis+16)=RokKalendáře,MONTH(Ne1Lis+16)=11),Ne1Lis+16,""))</f>
        <v>43781</v>
      </c>
      <c r="W46" s="44">
        <f ca="1">IF(DAY(Ne1Lis)=1,IF(AND(YEAR(Ne1Lis+10)=RokKalendáře,MONTH(Ne1Lis+10)=11),Ne1Lis+10,""),IF(AND(YEAR(Ne1Lis+17)=RokKalendáře,MONTH(Ne1Lis+17)=11),Ne1Lis+17,""))</f>
        <v>43782</v>
      </c>
      <c r="X46" s="44">
        <f ca="1">IF(DAY(Ne1Lis)=1,IF(AND(YEAR(Ne1Lis+11)=RokKalendáře,MONTH(Ne1Lis+11)=11),Ne1Lis+11,""),IF(AND(YEAR(Ne1Lis+18)=RokKalendáře,MONTH(Ne1Lis+18)=11),Ne1Lis+18,""))</f>
        <v>43783</v>
      </c>
      <c r="Y46" s="44">
        <f ca="1">IF(DAY(Ne1Lis)=1,IF(AND(YEAR(Ne1Lis+12)=RokKalendáře,MONTH(Ne1Lis+12)=11),Ne1Lis+12,""),IF(AND(YEAR(Ne1Lis+19)=RokKalendáře,MONTH(Ne1Lis+19)=11),Ne1Lis+19,""))</f>
        <v>43784</v>
      </c>
      <c r="Z46" s="44">
        <f ca="1">IF(DAY(Ne1Lis)=1,IF(AND(YEAR(Ne1Lis+13)=RokKalendáře,MONTH(Ne1Lis+13)=11),Ne1Lis+13,""),IF(AND(YEAR(Ne1Lis+20)=RokKalendáře,MONTH(Ne1Lis+20)=11),Ne1Lis+20,""))</f>
        <v>43785</v>
      </c>
      <c r="AA46" s="44">
        <f ca="1">IF(DAY(Ne1Lis)=1,IF(AND(YEAR(Ne1Lis+14)=RokKalendáře,MONTH(Ne1Lis+14)=11),Ne1Lis+14,""),IF(AND(YEAR(Ne1Lis+21)=RokKalendáře,MONTH(Ne1Lis+21)=11),Ne1Lis+21,""))</f>
        <v>43786</v>
      </c>
      <c r="AB46" s="36"/>
      <c r="AC46" s="39"/>
      <c r="AD46" s="44">
        <f ca="1">IF(DAY(Ne1Pro)=1,IF(AND(YEAR(Ne1Pro+8)=RokKalendáře,MONTH(Ne1Pro+8)=12),Ne1Pro+8,""),IF(AND(YEAR(Ne1Pro+15)=RokKalendáře,MONTH(Ne1Pro+15)=12),Ne1Pro+15,""))</f>
        <v>43808</v>
      </c>
      <c r="AE46" s="44">
        <f ca="1">IF(DAY(Ne1Pro)=1,IF(AND(YEAR(Ne1Pro+9)=RokKalendáře,MONTH(Ne1Pro+9)=12),Ne1Pro+9,""),IF(AND(YEAR(Ne1Pro+16)=RokKalendáře,MONTH(Ne1Pro+16)=12),Ne1Pro+16,""))</f>
        <v>43809</v>
      </c>
      <c r="AF46" s="44">
        <f ca="1">IF(DAY(Ne1Pro)=1,IF(AND(YEAR(Ne1Pro+10)=RokKalendáře,MONTH(Ne1Pro+10)=12),Ne1Pro+10,""),IF(AND(YEAR(Ne1Pro+17)=RokKalendáře,MONTH(Ne1Pro+17)=12),Ne1Pro+17,""))</f>
        <v>43810</v>
      </c>
      <c r="AG46" s="44">
        <f ca="1">IF(DAY(Ne1Pro)=1,IF(AND(YEAR(Ne1Pro+11)=RokKalendáře,MONTH(Ne1Pro+11)=12),Ne1Pro+11,""),IF(AND(YEAR(Ne1Pro+18)=RokKalendáře,MONTH(Ne1Pro+18)=12),Ne1Pro+18,""))</f>
        <v>43811</v>
      </c>
      <c r="AH46" s="44">
        <f ca="1">IF(DAY(Ne1Pro)=1,IF(AND(YEAR(Ne1Pro+12)=RokKalendáře,MONTH(Ne1Pro+12)=12),Ne1Pro+12,""),IF(AND(YEAR(Ne1Pro+19)=RokKalendáře,MONTH(Ne1Pro+19)=12),Ne1Pro+19,""))</f>
        <v>43812</v>
      </c>
      <c r="AI46" s="44">
        <f ca="1">IF(DAY(Ne1Pro)=1,IF(AND(YEAR(Ne1Pro+13)=RokKalendáře,MONTH(Ne1Pro+13)=12),Ne1Pro+13,""),IF(AND(YEAR(Ne1Pro+20)=RokKalendáře,MONTH(Ne1Pro+20)=12),Ne1Pro+20,""))</f>
        <v>43813</v>
      </c>
      <c r="AJ46" s="44">
        <f ca="1">IF(DAY(Ne1Pro)=1,IF(AND(YEAR(Ne1Pro+14)=RokKalendáře,MONTH(Ne1Pro+14)=12),Ne1Pro+14,""),IF(AND(YEAR(Ne1Pro+21)=RokKalendáře,MONTH(Ne1Pro+21)=12),Ne1Pro+21,""))</f>
        <v>43814</v>
      </c>
    </row>
    <row r="47" spans="1:36" x14ac:dyDescent="0.2">
      <c r="C47" s="44">
        <f ca="1">IF(DAY(Ne1Zář)=1,IF(AND(YEAR(Ne1Zář+15)=RokKalendáře,MONTH(Ne1Zář+15)=9),Ne1Zář+15,""),IF(AND(YEAR(Ne1Zář+22)=RokKalendáře,MONTH(Ne1Zář+22)=9),Ne1Zář+22,""))</f>
        <v>43724</v>
      </c>
      <c r="D47" s="44">
        <f ca="1">IF(DAY(Ne1Zář)=1,IF(AND(YEAR(Ne1Zář+16)=RokKalendáře,MONTH(Ne1Zář+16)=9),Ne1Zář+16,""),IF(AND(YEAR(Ne1Zář+23)=RokKalendáře,MONTH(Ne1Zář+23)=9),Ne1Zář+23,""))</f>
        <v>43725</v>
      </c>
      <c r="E47" s="44">
        <f ca="1">IF(DAY(Ne1Zář)=1,IF(AND(YEAR(Ne1Zář+17)=RokKalendáře,MONTH(Ne1Zář+17)=9),Ne1Zář+17,""),IF(AND(YEAR(Ne1Zář+24)=RokKalendáře,MONTH(Ne1Zář+24)=9),Ne1Zář+24,""))</f>
        <v>43726</v>
      </c>
      <c r="F47" s="44">
        <f ca="1">IF(DAY(Ne1Zář)=1,IF(AND(YEAR(Ne1Zář+18)=RokKalendáře,MONTH(Ne1Zář+18)=9),Ne1Zář+18,""),IF(AND(YEAR(Ne1Zář+25)=RokKalendáře,MONTH(Ne1Zář+25)=9),Ne1Zář+25,""))</f>
        <v>43727</v>
      </c>
      <c r="G47" s="44">
        <f ca="1">IF(DAY(Ne1Zář)=1,IF(AND(YEAR(Ne1Zář+19)=RokKalendáře,MONTH(Ne1Zář+19)=9),Ne1Zář+19,""),IF(AND(YEAR(Ne1Zář+26)=RokKalendáře,MONTH(Ne1Zář+26)=9),Ne1Zář+26,""))</f>
        <v>43728</v>
      </c>
      <c r="H47" s="44">
        <f ca="1">IF(DAY(Ne1Zář)=1,IF(AND(YEAR(Ne1Zář+20)=RokKalendáře,MONTH(Ne1Zář+20)=9),Ne1Zář+20,""),IF(AND(YEAR(Ne1Zář+27)=RokKalendáře,MONTH(Ne1Zář+27)=9),Ne1Zář+27,""))</f>
        <v>43729</v>
      </c>
      <c r="I47" s="44">
        <f ca="1">IF(DAY(Ne1Zář)=1,IF(AND(YEAR(Ne1Zář+21)=RokKalendáře,MONTH(Ne1Zář+21)=9),Ne1Zář+21,""),IF(AND(YEAR(Ne1Zář+28)=RokKalendáře,MONTH(Ne1Zář+28)=9),Ne1Zář+28,""))</f>
        <v>43730</v>
      </c>
      <c r="J47" s="36"/>
      <c r="K47" s="39"/>
      <c r="L47" s="44">
        <f ca="1">IF(DAY(Ne1Říj)=1,IF(AND(YEAR(Ne1Říj+15)=RokKalendáře,MONTH(Ne1Říj+15)=10),Ne1Říj+15,""),IF(AND(YEAR(Ne1Říj+22)=RokKalendáře,MONTH(Ne1Říj+22)=10),Ne1Říj+22,""))</f>
        <v>43759</v>
      </c>
      <c r="M47" s="44">
        <f ca="1">IF(DAY(Ne1Říj)=1,IF(AND(YEAR(Ne1Říj+16)=RokKalendáře,MONTH(Ne1Říj+16)=10),Ne1Říj+16,""),IF(AND(YEAR(Ne1Říj+23)=RokKalendáře,MONTH(Ne1Říj+23)=10),Ne1Říj+23,""))</f>
        <v>43760</v>
      </c>
      <c r="N47" s="44">
        <f ca="1">IF(DAY(Ne1Říj)=1,IF(AND(YEAR(Ne1Říj+17)=RokKalendáře,MONTH(Ne1Říj+17)=10),Ne1Říj+17,""),IF(AND(YEAR(Ne1Říj+24)=RokKalendáře,MONTH(Ne1Říj+24)=10),Ne1Říj+24,""))</f>
        <v>43761</v>
      </c>
      <c r="O47" s="44">
        <f ca="1">IF(DAY(Ne1Říj)=1,IF(AND(YEAR(Ne1Říj+18)=RokKalendáře,MONTH(Ne1Říj+18)=10),Ne1Říj+18,""),IF(AND(YEAR(Ne1Říj+25)=RokKalendáře,MONTH(Ne1Říj+25)=10),Ne1Říj+25,""))</f>
        <v>43762</v>
      </c>
      <c r="P47" s="44">
        <f ca="1">IF(DAY(Ne1Říj)=1,IF(AND(YEAR(Ne1Říj+19)=RokKalendáře,MONTH(Ne1Říj+19)=10),Ne1Říj+19,""),IF(AND(YEAR(Ne1Říj+26)=RokKalendáře,MONTH(Ne1Říj+26)=10),Ne1Říj+26,""))</f>
        <v>43763</v>
      </c>
      <c r="Q47" s="44">
        <f ca="1">IF(DAY(Ne1Říj)=1,IF(AND(YEAR(Ne1Říj+20)=RokKalendáře,MONTH(Ne1Říj+20)=10),Ne1Říj+20,""),IF(AND(YEAR(Ne1Říj+27)=RokKalendáře,MONTH(Ne1Říj+27)=10),Ne1Říj+27,""))</f>
        <v>43764</v>
      </c>
      <c r="R47" s="44">
        <f ca="1">IF(DAY(Ne1Říj)=1,IF(AND(YEAR(Ne1Říj+21)=RokKalendáře,MONTH(Ne1Říj+21)=10),Ne1Říj+21,""),IF(AND(YEAR(Ne1Říj+28)=RokKalendáře,MONTH(Ne1Říj+28)=10),Ne1Říj+28,""))</f>
        <v>43765</v>
      </c>
      <c r="S47" s="36"/>
      <c r="T47" s="40"/>
      <c r="U47" s="44">
        <f ca="1">IF(DAY(Ne1Lis)=1,IF(AND(YEAR(Ne1Lis+15)=RokKalendáře,MONTH(Ne1Lis+15)=11),Ne1Lis+15,""),IF(AND(YEAR(Ne1Lis+22)=RokKalendáře,MONTH(Ne1Lis+22)=11),Ne1Lis+22,""))</f>
        <v>43787</v>
      </c>
      <c r="V47" s="44">
        <f ca="1">IF(DAY(Ne1Lis)=1,IF(AND(YEAR(Ne1Lis+16)=RokKalendáře,MONTH(Ne1Lis+16)=11),Ne1Lis+16,""),IF(AND(YEAR(Ne1Lis+23)=RokKalendáře,MONTH(Ne1Lis+23)=11),Ne1Lis+23,""))</f>
        <v>43788</v>
      </c>
      <c r="W47" s="44">
        <f ca="1">IF(DAY(Ne1Lis)=1,IF(AND(YEAR(Ne1Lis+17)=RokKalendáře,MONTH(Ne1Lis+17)=11),Ne1Lis+17,""),IF(AND(YEAR(Ne1Lis+24)=RokKalendáře,MONTH(Ne1Lis+24)=11),Ne1Lis+24,""))</f>
        <v>43789</v>
      </c>
      <c r="X47" s="44">
        <f ca="1">IF(DAY(Ne1Lis)=1,IF(AND(YEAR(Ne1Lis+18)=RokKalendáře,MONTH(Ne1Lis+18)=11),Ne1Lis+18,""),IF(AND(YEAR(Ne1Lis+25)=RokKalendáře,MONTH(Ne1Lis+25)=11),Ne1Lis+25,""))</f>
        <v>43790</v>
      </c>
      <c r="Y47" s="44">
        <f ca="1">IF(DAY(Ne1Lis)=1,IF(AND(YEAR(Ne1Lis+19)=RokKalendáře,MONTH(Ne1Lis+19)=11),Ne1Lis+19,""),IF(AND(YEAR(Ne1Lis+26)=RokKalendáře,MONTH(Ne1Lis+26)=11),Ne1Lis+26,""))</f>
        <v>43791</v>
      </c>
      <c r="Z47" s="44">
        <f ca="1">IF(DAY(Ne1Lis)=1,IF(AND(YEAR(Ne1Lis+20)=RokKalendáře,MONTH(Ne1Lis+20)=11),Ne1Lis+20,""),IF(AND(YEAR(Ne1Lis+27)=RokKalendáře,MONTH(Ne1Lis+27)=11),Ne1Lis+27,""))</f>
        <v>43792</v>
      </c>
      <c r="AA47" s="44">
        <f ca="1">IF(DAY(Ne1Lis)=1,IF(AND(YEAR(Ne1Lis+21)=RokKalendáře,MONTH(Ne1Lis+21)=11),Ne1Lis+21,""),IF(AND(YEAR(Ne1Lis+28)=RokKalendáře,MONTH(Ne1Lis+28)=11),Ne1Lis+28,""))</f>
        <v>43793</v>
      </c>
      <c r="AB47" s="36"/>
      <c r="AC47" s="39"/>
      <c r="AD47" s="44">
        <f ca="1">IF(DAY(Ne1Pro)=1,IF(AND(YEAR(Ne1Pro+15)=RokKalendáře,MONTH(Ne1Pro+15)=12),Ne1Pro+15,""),IF(AND(YEAR(Ne1Pro+22)=RokKalendáře,MONTH(Ne1Pro+22)=12),Ne1Pro+22,""))</f>
        <v>43815</v>
      </c>
      <c r="AE47" s="44">
        <f ca="1">IF(DAY(Ne1Pro)=1,IF(AND(YEAR(Ne1Pro+16)=RokKalendáře,MONTH(Ne1Pro+16)=12),Ne1Pro+16,""),IF(AND(YEAR(Ne1Pro+23)=RokKalendáře,MONTH(Ne1Pro+23)=12),Ne1Pro+23,""))</f>
        <v>43816</v>
      </c>
      <c r="AF47" s="44">
        <f ca="1">IF(DAY(Ne1Pro)=1,IF(AND(YEAR(Ne1Pro+17)=RokKalendáře,MONTH(Ne1Pro+17)=12),Ne1Pro+17,""),IF(AND(YEAR(Ne1Pro+24)=RokKalendáře,MONTH(Ne1Pro+24)=12),Ne1Pro+24,""))</f>
        <v>43817</v>
      </c>
      <c r="AG47" s="44">
        <f ca="1">IF(DAY(Ne1Pro)=1,IF(AND(YEAR(Ne1Pro+18)=RokKalendáře,MONTH(Ne1Pro+18)=12),Ne1Pro+18,""),IF(AND(YEAR(Ne1Pro+25)=RokKalendáře,MONTH(Ne1Pro+25)=12),Ne1Pro+25,""))</f>
        <v>43818</v>
      </c>
      <c r="AH47" s="44">
        <f ca="1">IF(DAY(Ne1Pro)=1,IF(AND(YEAR(Ne1Pro+19)=RokKalendáře,MONTH(Ne1Pro+19)=12),Ne1Pro+19,""),IF(AND(YEAR(Ne1Pro+26)=RokKalendáře,MONTH(Ne1Pro+26)=12),Ne1Pro+26,""))</f>
        <v>43819</v>
      </c>
      <c r="AI47" s="44">
        <f ca="1">IF(DAY(Ne1Pro)=1,IF(AND(YEAR(Ne1Pro+20)=RokKalendáře,MONTH(Ne1Pro+20)=12),Ne1Pro+20,""),IF(AND(YEAR(Ne1Pro+27)=RokKalendáře,MONTH(Ne1Pro+27)=12),Ne1Pro+27,""))</f>
        <v>43820</v>
      </c>
      <c r="AJ47" s="44">
        <f ca="1">IF(DAY(Ne1Pro)=1,IF(AND(YEAR(Ne1Pro+21)=RokKalendáře,MONTH(Ne1Pro+21)=12),Ne1Pro+21,""),IF(AND(YEAR(Ne1Pro+28)=RokKalendáře,MONTH(Ne1Pro+28)=12),Ne1Pro+28,""))</f>
        <v>43821</v>
      </c>
    </row>
    <row r="48" spans="1:36" x14ac:dyDescent="0.2">
      <c r="C48" s="44">
        <f ca="1">IF(DAY(Ne1Zář)=1,IF(AND(YEAR(Ne1Zář+22)=RokKalendáře,MONTH(Ne1Zář+22)=9),Ne1Zář+22,""),IF(AND(YEAR(Ne1Zář+29)=RokKalendáře,MONTH(Ne1Zář+29)=9),Ne1Zář+29,""))</f>
        <v>43731</v>
      </c>
      <c r="D48" s="44">
        <f ca="1">IF(DAY(Ne1Zář)=1,IF(AND(YEAR(Ne1Zář+23)=RokKalendáře,MONTH(Ne1Zář+23)=9),Ne1Zář+23,""),IF(AND(YEAR(Ne1Zář+30)=RokKalendáře,MONTH(Ne1Zář+30)=9),Ne1Zář+30,""))</f>
        <v>43732</v>
      </c>
      <c r="E48" s="44">
        <f ca="1">IF(DAY(Ne1Zář)=1,IF(AND(YEAR(Ne1Zář+24)=RokKalendáře,MONTH(Ne1Zář+24)=9),Ne1Zář+24,""),IF(AND(YEAR(Ne1Zář+31)=RokKalendáře,MONTH(Ne1Zář+31)=9),Ne1Zář+31,""))</f>
        <v>43733</v>
      </c>
      <c r="F48" s="44">
        <f ca="1">IF(DAY(Ne1Zář)=1,IF(AND(YEAR(Ne1Zář+25)=RokKalendáře,MONTH(Ne1Zář+25)=9),Ne1Zář+25,""),IF(AND(YEAR(Ne1Zář+32)=RokKalendáře,MONTH(Ne1Zář+32)=9),Ne1Zář+32,""))</f>
        <v>43734</v>
      </c>
      <c r="G48" s="44">
        <f ca="1">IF(DAY(Ne1Zář)=1,IF(AND(YEAR(Ne1Zář+26)=RokKalendáře,MONTH(Ne1Zář+26)=9),Ne1Zář+26,""),IF(AND(YEAR(Ne1Zář+33)=RokKalendáře,MONTH(Ne1Zář+33)=9),Ne1Zář+33,""))</f>
        <v>43735</v>
      </c>
      <c r="H48" s="44">
        <f ca="1">IF(DAY(Ne1Zář)=1,IF(AND(YEAR(Ne1Zář+27)=RokKalendáře,MONTH(Ne1Zář+27)=9),Ne1Zář+27,""),IF(AND(YEAR(Ne1Zář+34)=RokKalendáře,MONTH(Ne1Zář+34)=9),Ne1Zář+34,""))</f>
        <v>43736</v>
      </c>
      <c r="I48" s="44">
        <f ca="1">IF(DAY(Ne1Zář)=1,IF(AND(YEAR(Ne1Zář+28)=RokKalendáře,MONTH(Ne1Zář+28)=9),Ne1Zář+28,""),IF(AND(YEAR(Ne1Zář+35)=RokKalendáře,MONTH(Ne1Zář+35)=9),Ne1Zář+35,""))</f>
        <v>43737</v>
      </c>
      <c r="J48" s="36"/>
      <c r="K48" s="39"/>
      <c r="L48" s="44">
        <f ca="1">IF(DAY(Ne1Říj)=1,IF(AND(YEAR(Ne1Říj+22)=RokKalendáře,MONTH(Ne1Říj+22)=10),Ne1Říj+22,""),IF(AND(YEAR(Ne1Říj+29)=RokKalendáře,MONTH(Ne1Říj+29)=10),Ne1Říj+29,""))</f>
        <v>43766</v>
      </c>
      <c r="M48" s="44">
        <f ca="1">IF(DAY(Ne1Říj)=1,IF(AND(YEAR(Ne1Říj+23)=RokKalendáře,MONTH(Ne1Říj+23)=10),Ne1Říj+23,""),IF(AND(YEAR(Ne1Říj+30)=RokKalendáře,MONTH(Ne1Říj+30)=10),Ne1Říj+30,""))</f>
        <v>43767</v>
      </c>
      <c r="N48" s="44">
        <f ca="1">IF(DAY(Ne1Říj)=1,IF(AND(YEAR(Ne1Říj+24)=RokKalendáře,MONTH(Ne1Říj+24)=10),Ne1Říj+24,""),IF(AND(YEAR(Ne1Říj+31)=RokKalendáře,MONTH(Ne1Říj+31)=10),Ne1Říj+31,""))</f>
        <v>43768</v>
      </c>
      <c r="O48" s="44">
        <f ca="1">IF(DAY(Ne1Říj)=1,IF(AND(YEAR(Ne1Říj+25)=RokKalendáře,MONTH(Ne1Říj+25)=10),Ne1Říj+25,""),IF(AND(YEAR(Ne1Říj+32)=RokKalendáře,MONTH(Ne1Říj+32)=10),Ne1Říj+32,""))</f>
        <v>43769</v>
      </c>
      <c r="P48" s="44" t="str">
        <f ca="1">IF(DAY(Ne1Říj)=1,IF(AND(YEAR(Ne1Říj+26)=RokKalendáře,MONTH(Ne1Říj+26)=10),Ne1Říj+26,""),IF(AND(YEAR(Ne1Říj+33)=RokKalendáře,MONTH(Ne1Říj+33)=10),Ne1Říj+33,""))</f>
        <v/>
      </c>
      <c r="Q48" s="44" t="str">
        <f ca="1">IF(DAY(Ne1Říj)=1,IF(AND(YEAR(Ne1Říj+27)=RokKalendáře,MONTH(Ne1Říj+27)=10),Ne1Říj+27,""),IF(AND(YEAR(Ne1Říj+34)=RokKalendáře,MONTH(Ne1Říj+34)=10),Ne1Říj+34,""))</f>
        <v/>
      </c>
      <c r="R48" s="44" t="str">
        <f ca="1">IF(DAY(Ne1Říj)=1,IF(AND(YEAR(Ne1Říj+28)=RokKalendáře,MONTH(Ne1Říj+28)=10),Ne1Říj+28,""),IF(AND(YEAR(Ne1Říj+35)=RokKalendáře,MONTH(Ne1Říj+35)=10),Ne1Říj+35,""))</f>
        <v/>
      </c>
      <c r="S48" s="36"/>
      <c r="T48" s="40"/>
      <c r="U48" s="44">
        <f ca="1">IF(DAY(Ne1Lis)=1,IF(AND(YEAR(Ne1Lis+22)=RokKalendáře,MONTH(Ne1Lis+22)=11),Ne1Lis+22,""),IF(AND(YEAR(Ne1Lis+29)=RokKalendáře,MONTH(Ne1Lis+29)=11),Ne1Lis+29,""))</f>
        <v>43794</v>
      </c>
      <c r="V48" s="44">
        <f ca="1">IF(DAY(Ne1Lis)=1,IF(AND(YEAR(Ne1Lis+23)=RokKalendáře,MONTH(Ne1Lis+23)=11),Ne1Lis+23,""),IF(AND(YEAR(Ne1Lis+30)=RokKalendáře,MONTH(Ne1Lis+30)=11),Ne1Lis+30,""))</f>
        <v>43795</v>
      </c>
      <c r="W48" s="44">
        <f ca="1">IF(DAY(Ne1Lis)=1,IF(AND(YEAR(Ne1Lis+24)=RokKalendáře,MONTH(Ne1Lis+24)=11),Ne1Lis+24,""),IF(AND(YEAR(Ne1Lis+31)=RokKalendáře,MONTH(Ne1Lis+31)=11),Ne1Lis+31,""))</f>
        <v>43796</v>
      </c>
      <c r="X48" s="44">
        <f ca="1">IF(DAY(Ne1Lis)=1,IF(AND(YEAR(Ne1Lis+25)=RokKalendáře,MONTH(Ne1Lis+25)=11),Ne1Lis+25,""),IF(AND(YEAR(Ne1Lis+32)=RokKalendáře,MONTH(Ne1Lis+32)=11),Ne1Lis+32,""))</f>
        <v>43797</v>
      </c>
      <c r="Y48" s="44">
        <f ca="1">IF(DAY(Ne1Lis)=1,IF(AND(YEAR(Ne1Lis+26)=RokKalendáře,MONTH(Ne1Lis+26)=11),Ne1Lis+26,""),IF(AND(YEAR(Ne1Lis+33)=RokKalendáře,MONTH(Ne1Lis+33)=11),Ne1Lis+33,""))</f>
        <v>43798</v>
      </c>
      <c r="Z48" s="44">
        <f ca="1">IF(DAY(Ne1Lis)=1,IF(AND(YEAR(Ne1Lis+27)=RokKalendáře,MONTH(Ne1Lis+27)=11),Ne1Lis+27,""),IF(AND(YEAR(Ne1Lis+34)=RokKalendáře,MONTH(Ne1Lis+34)=11),Ne1Lis+34,""))</f>
        <v>43799</v>
      </c>
      <c r="AA48" s="44" t="str">
        <f ca="1">IF(DAY(Ne1Lis)=1,IF(AND(YEAR(Ne1Lis+28)=RokKalendáře,MONTH(Ne1Lis+28)=11),Ne1Lis+28,""),IF(AND(YEAR(Ne1Lis+35)=RokKalendáře,MONTH(Ne1Lis+35)=11),Ne1Lis+35,""))</f>
        <v/>
      </c>
      <c r="AB48" s="36"/>
      <c r="AC48" s="39"/>
      <c r="AD48" s="44">
        <f ca="1">IF(DAY(Ne1Pro)=1,IF(AND(YEAR(Ne1Pro+22)=RokKalendáře,MONTH(Ne1Pro+22)=12),Ne1Pro+22,""),IF(AND(YEAR(Ne1Pro+29)=RokKalendáře,MONTH(Ne1Pro+29)=12),Ne1Pro+29,""))</f>
        <v>43822</v>
      </c>
      <c r="AE48" s="44">
        <f ca="1">IF(DAY(Ne1Pro)=1,IF(AND(YEAR(Ne1Pro+23)=RokKalendáře,MONTH(Ne1Pro+23)=12),Ne1Pro+23,""),IF(AND(YEAR(Ne1Pro+30)=RokKalendáře,MONTH(Ne1Pro+30)=12),Ne1Pro+30,""))</f>
        <v>43823</v>
      </c>
      <c r="AF48" s="44">
        <f ca="1">IF(DAY(Ne1Pro)=1,IF(AND(YEAR(Ne1Pro+24)=RokKalendáře,MONTH(Ne1Pro+24)=12),Ne1Pro+24,""),IF(AND(YEAR(Ne1Pro+31)=RokKalendáře,MONTH(Ne1Pro+31)=12),Ne1Pro+31,""))</f>
        <v>43824</v>
      </c>
      <c r="AG48" s="44">
        <f ca="1">IF(DAY(Ne1Pro)=1,IF(AND(YEAR(Ne1Pro+25)=RokKalendáře,MONTH(Ne1Pro+25)=12),Ne1Pro+25,""),IF(AND(YEAR(Ne1Pro+32)=RokKalendáře,MONTH(Ne1Pro+32)=12),Ne1Pro+32,""))</f>
        <v>43825</v>
      </c>
      <c r="AH48" s="44">
        <f ca="1">IF(DAY(Ne1Pro)=1,IF(AND(YEAR(Ne1Pro+26)=RokKalendáře,MONTH(Ne1Pro+26)=12),Ne1Pro+26,""),IF(AND(YEAR(Ne1Pro+33)=RokKalendáře,MONTH(Ne1Pro+33)=12),Ne1Pro+33,""))</f>
        <v>43826</v>
      </c>
      <c r="AI48" s="44">
        <f ca="1">IF(DAY(Ne1Pro)=1,IF(AND(YEAR(Ne1Pro+27)=RokKalendáře,MONTH(Ne1Pro+27)=12),Ne1Pro+27,""),IF(AND(YEAR(Ne1Pro+34)=RokKalendáře,MONTH(Ne1Pro+34)=12),Ne1Pro+34,""))</f>
        <v>43827</v>
      </c>
      <c r="AJ48" s="44">
        <f ca="1">IF(DAY(Ne1Pro)=1,IF(AND(YEAR(Ne1Pro+28)=RokKalendáře,MONTH(Ne1Pro+28)=12),Ne1Pro+28,""),IF(AND(YEAR(Ne1Pro+35)=RokKalendáře,MONTH(Ne1Pro+35)=12),Ne1Pro+35,""))</f>
        <v>43828</v>
      </c>
    </row>
    <row r="49" spans="3:36" x14ac:dyDescent="0.2">
      <c r="C49" s="44">
        <f ca="1">IF(DAY(Ne1Zář)=1,IF(AND(YEAR(Ne1Zář+29)=RokKalendáře,MONTH(Ne1Zář+29)=9),Ne1Zář+29,""),IF(AND(YEAR(Ne1Zář+36)=RokKalendáře,MONTH(Ne1Zář+36)=9),Ne1Zář+36,""))</f>
        <v>43738</v>
      </c>
      <c r="D49" s="44" t="str">
        <f ca="1">IF(DAY(Ne1Zář)=1,IF(AND(YEAR(Ne1Zář+30)=RokKalendáře,MONTH(Ne1Zář+30)=9),Ne1Zář+30,""),IF(AND(YEAR(Ne1Zář+37)=RokKalendáře,MONTH(Ne1Zář+37)=9),Ne1Zář+37,""))</f>
        <v/>
      </c>
      <c r="E49" s="44" t="str">
        <f ca="1">IF(DAY(Ne1Zář)=1,IF(AND(YEAR(Ne1Zář+31)=RokKalendáře,MONTH(Ne1Zář+31)=9),Ne1Zář+31,""),IF(AND(YEAR(Ne1Zář+38)=RokKalendáře,MONTH(Ne1Zář+38)=9),Ne1Zář+38,""))</f>
        <v/>
      </c>
      <c r="F49" s="44" t="str">
        <f ca="1">IF(DAY(Ne1Zář)=1,IF(AND(YEAR(Ne1Zář+32)=RokKalendáře,MONTH(Ne1Zář+32)=9),Ne1Zář+32,""),IF(AND(YEAR(Ne1Zář+39)=RokKalendáře,MONTH(Ne1Zář+39)=9),Ne1Zář+39,""))</f>
        <v/>
      </c>
      <c r="G49" s="44" t="str">
        <f ca="1">IF(DAY(Ne1Zář)=1,IF(AND(YEAR(Ne1Zář+33)=RokKalendáře,MONTH(Ne1Zář+33)=9),Ne1Zář+33,""),IF(AND(YEAR(Ne1Zář+40)=RokKalendáře,MONTH(Ne1Zář+40)=9),Ne1Zář+40,""))</f>
        <v/>
      </c>
      <c r="H49" s="44" t="str">
        <f ca="1">IF(DAY(Ne1Zář)=1,IF(AND(YEAR(Ne1Zář+34)=RokKalendáře,MONTH(Ne1Zář+34)=9),Ne1Zář+34,""),IF(AND(YEAR(Ne1Zář+41)=RokKalendáře,MONTH(Ne1Zář+41)=9),Ne1Zář+41,""))</f>
        <v/>
      </c>
      <c r="I49" s="44" t="str">
        <f ca="1">IF(DAY(Ne1Zář)=1,IF(AND(YEAR(Ne1Zář+35)=RokKalendáře,MONTH(Ne1Zář+35)=9),Ne1Zář+35,""),IF(AND(YEAR(Ne1Zář+42)=RokKalendáře,MONTH(Ne1Zář+42)=9),Ne1Zář+42,""))</f>
        <v/>
      </c>
      <c r="J49" s="36"/>
      <c r="K49" s="39"/>
      <c r="L49" s="44" t="str">
        <f ca="1">IF(DAY(Ne1Říj)=1,IF(AND(YEAR(Ne1Říj+29)=RokKalendáře,MONTH(Ne1Říj+29)=10),Ne1Říj+29,""),IF(AND(YEAR(Ne1Říj+36)=RokKalendáře,MONTH(Ne1Říj+36)=10),Ne1Říj+36,""))</f>
        <v/>
      </c>
      <c r="M49" s="44" t="str">
        <f ca="1">IF(DAY(Ne1Říj)=1,IF(AND(YEAR(Ne1Říj+30)=RokKalendáře,MONTH(Ne1Říj+30)=10),Ne1Říj+30,""),IF(AND(YEAR(Ne1Říj+37)=RokKalendáře,MONTH(Ne1Říj+37)=10),Ne1Říj+37,""))</f>
        <v/>
      </c>
      <c r="N49" s="44" t="str">
        <f ca="1">IF(DAY(Ne1Říj)=1,IF(AND(YEAR(Ne1Říj+31)=RokKalendáře,MONTH(Ne1Říj+31)=10),Ne1Říj+31,""),IF(AND(YEAR(Ne1Říj+38)=RokKalendáře,MONTH(Ne1Říj+38)=10),Ne1Říj+38,""))</f>
        <v/>
      </c>
      <c r="O49" s="44" t="str">
        <f ca="1">IF(DAY(Ne1Říj)=1,IF(AND(YEAR(Ne1Říj+32)=RokKalendáře,MONTH(Ne1Říj+32)=10),Ne1Říj+32,""),IF(AND(YEAR(Ne1Říj+39)=RokKalendáře,MONTH(Ne1Říj+39)=10),Ne1Říj+39,""))</f>
        <v/>
      </c>
      <c r="P49" s="44" t="str">
        <f ca="1">IF(DAY(Ne1Říj)=1,IF(AND(YEAR(Ne1Říj+33)=RokKalendáře,MONTH(Ne1Říj+33)=10),Ne1Říj+33,""),IF(AND(YEAR(Ne1Říj+40)=RokKalendáře,MONTH(Ne1Říj+40)=10),Ne1Říj+40,""))</f>
        <v/>
      </c>
      <c r="Q49" s="44" t="str">
        <f ca="1">IF(DAY(Ne1Říj)=1,IF(AND(YEAR(Ne1Říj+34)=RokKalendáře,MONTH(Ne1Říj+34)=10),Ne1Říj+34,""),IF(AND(YEAR(Ne1Říj+41)=RokKalendáře,MONTH(Ne1Říj+41)=10),Ne1Říj+41,""))</f>
        <v/>
      </c>
      <c r="R49" s="44" t="str">
        <f ca="1">IF(DAY(Ne1Říj)=1,IF(AND(YEAR(Ne1Říj+35)=RokKalendáře,MONTH(Ne1Říj+35)=10),Ne1Říj+35,""),IF(AND(YEAR(Ne1Říj+42)=RokKalendáře,MONTH(Ne1Říj+42)=10),Ne1Říj+42,""))</f>
        <v/>
      </c>
      <c r="S49" s="36"/>
      <c r="T49" s="40"/>
      <c r="U49" s="44" t="str">
        <f ca="1">IF(DAY(Ne1Lis)=1,IF(AND(YEAR(Ne1Lis+29)=RokKalendáře,MONTH(Ne1Lis+29)=11),Ne1Lis+29,""),IF(AND(YEAR(Ne1Lis+36)=RokKalendáře,MONTH(Ne1Lis+36)=11),Ne1Lis+36,""))</f>
        <v/>
      </c>
      <c r="V49" s="44" t="str">
        <f ca="1">IF(DAY(Ne1Lis)=1,IF(AND(YEAR(Ne1Lis+30)=RokKalendáře,MONTH(Ne1Lis+30)=11),Ne1Lis+30,""),IF(AND(YEAR(Ne1Lis+37)=RokKalendáře,MONTH(Ne1Lis+37)=11),Ne1Lis+37,""))</f>
        <v/>
      </c>
      <c r="W49" s="44" t="str">
        <f ca="1">IF(DAY(Ne1Lis)=1,IF(AND(YEAR(Ne1Lis+31)=RokKalendáře,MONTH(Ne1Lis+31)=11),Ne1Lis+31,""),IF(AND(YEAR(Ne1Lis+38)=RokKalendáře,MONTH(Ne1Lis+38)=11),Ne1Lis+38,""))</f>
        <v/>
      </c>
      <c r="X49" s="44" t="str">
        <f ca="1">IF(DAY(Ne1Lis)=1,IF(AND(YEAR(Ne1Lis+32)=RokKalendáře,MONTH(Ne1Lis+32)=11),Ne1Lis+32,""),IF(AND(YEAR(Ne1Lis+39)=RokKalendáře,MONTH(Ne1Lis+39)=11),Ne1Lis+39,""))</f>
        <v/>
      </c>
      <c r="Y49" s="44" t="str">
        <f ca="1">IF(DAY(Ne1Lis)=1,IF(AND(YEAR(Ne1Lis+33)=RokKalendáře,MONTH(Ne1Lis+33)=11),Ne1Lis+33,""),IF(AND(YEAR(Ne1Lis+40)=RokKalendáře,MONTH(Ne1Lis+40)=11),Ne1Lis+40,""))</f>
        <v/>
      </c>
      <c r="Z49" s="44" t="str">
        <f ca="1">IF(DAY(Ne1Lis)=1,IF(AND(YEAR(Ne1Lis+34)=RokKalendáře,MONTH(Ne1Lis+34)=11),Ne1Lis+34,""),IF(AND(YEAR(Ne1Lis+41)=RokKalendáře,MONTH(Ne1Lis+41)=11),Ne1Lis+41,""))</f>
        <v/>
      </c>
      <c r="AA49" s="44" t="str">
        <f ca="1">IF(DAY(Ne1Lis)=1,IF(AND(YEAR(Ne1Lis+35)=RokKalendáře,MONTH(Ne1Lis+35)=11),Ne1Lis+35,""),IF(AND(YEAR(Ne1Lis+42)=RokKalendáře,MONTH(Ne1Lis+42)=11),Ne1Lis+42,""))</f>
        <v/>
      </c>
      <c r="AB49" s="36"/>
      <c r="AC49" s="39"/>
      <c r="AD49" s="44">
        <f ca="1">IF(DAY(Ne1Pro)=1,IF(AND(YEAR(Ne1Pro+29)=RokKalendáře,MONTH(Ne1Pro+29)=12),Ne1Pro+29,""),IF(AND(YEAR(Ne1Pro+36)=RokKalendáře,MONTH(Ne1Pro+36)=12),Ne1Pro+36,""))</f>
        <v>43829</v>
      </c>
      <c r="AE49" s="44">
        <f ca="1">IF(DAY(Ne1Pro)=1,IF(AND(YEAR(Ne1Pro+30)=RokKalendáře,MONTH(Ne1Pro+30)=12),Ne1Pro+30,""),IF(AND(YEAR(Ne1Pro+37)=RokKalendáře,MONTH(Ne1Pro+37)=12),Ne1Pro+37,""))</f>
        <v>43830</v>
      </c>
      <c r="AF49" s="44" t="str">
        <f ca="1">IF(DAY(Ne1Pro)=1,IF(AND(YEAR(Ne1Pro+31)=RokKalendáře,MONTH(Ne1Pro+31)=12),Ne1Pro+31,""),IF(AND(YEAR(Ne1Pro+38)=RokKalendáře,MONTH(Ne1Pro+38)=12),Ne1Pro+38,""))</f>
        <v/>
      </c>
      <c r="AG49" s="44" t="str">
        <f ca="1">IF(DAY(Ne1Pro)=1,IF(AND(YEAR(Ne1Pro+32)=RokKalendáře,MONTH(Ne1Pro+32)=12),Ne1Pro+32,""),IF(AND(YEAR(Ne1Pro+39)=RokKalendáře,MONTH(Ne1Pro+39)=12),Ne1Pro+39,""))</f>
        <v/>
      </c>
      <c r="AH49" s="44" t="str">
        <f ca="1">IF(DAY(Ne1Pro)=1,IF(AND(YEAR(Ne1Pro+33)=RokKalendáře,MONTH(Ne1Pro+33)=12),Ne1Pro+33,""),IF(AND(YEAR(Ne1Pro+40)=RokKalendáře,MONTH(Ne1Pro+40)=12),Ne1Pro+40,""))</f>
        <v/>
      </c>
      <c r="AI49" s="44" t="str">
        <f ca="1">IF(DAY(Ne1Pro)=1,IF(AND(YEAR(Ne1Pro+34)=RokKalendáře,MONTH(Ne1Pro+34)=12),Ne1Pro+34,""),IF(AND(YEAR(Ne1Pro+41)=RokKalendáře,MONTH(Ne1Pro+41)=12),Ne1Pro+41,""))</f>
        <v/>
      </c>
      <c r="AJ49" s="44" t="str">
        <f ca="1">IF(DAY(Ne1Pro)=1,IF(AND(YEAR(Ne1Pro+35)=RokKalendáře,MONTH(Ne1Pro+35)=12),Ne1Pro+35,""),IF(AND(YEAR(Ne1Pro+42)=RokKalendáře,MONTH(Ne1Pro+42)=12),Ne1Pro+42,""))</f>
        <v/>
      </c>
    </row>
    <row r="50" spans="3:36" x14ac:dyDescent="0.2">
      <c r="C50" s="2"/>
      <c r="D50" s="2"/>
      <c r="E50" s="2"/>
      <c r="F50" s="2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</row>
  </sheetData>
  <mergeCells count="62">
    <mergeCell ref="AL3:AN3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D18:G18"/>
    <mergeCell ref="D19:G19"/>
    <mergeCell ref="D20:G20"/>
    <mergeCell ref="U13:AI13"/>
    <mergeCell ref="U14:AI14"/>
    <mergeCell ref="U15:AI15"/>
    <mergeCell ref="U16:AI16"/>
    <mergeCell ref="U17:AI17"/>
    <mergeCell ref="H6:Q6"/>
    <mergeCell ref="H7:Q7"/>
    <mergeCell ref="H8:Q8"/>
    <mergeCell ref="H9:Q9"/>
    <mergeCell ref="U18:AI18"/>
    <mergeCell ref="D6:G6"/>
    <mergeCell ref="D7:G7"/>
    <mergeCell ref="D8:G8"/>
    <mergeCell ref="D9:G9"/>
    <mergeCell ref="D10:G10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H15:Q15"/>
    <mergeCell ref="H16:Q16"/>
    <mergeCell ref="D16:G16"/>
    <mergeCell ref="D17:G17"/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</mergeCells>
  <conditionalFormatting sqref="C26:I31 L26:R31 U26:AA31 AD26:AJ31 C35:I40 L35:R40 U35:AA40 AD35:AJ40 C44:I49 L44:R49 U44:AA49 AD44:AJ49">
    <cfRule type="expression" dxfId="108" priority="1">
      <formula>VLOOKUP(C26,DůležitáData,1,FALSE)=C26</formula>
    </cfRule>
  </conditionalFormatting>
  <printOptions horizontalCentered="1"/>
  <pageMargins left="0.5" right="0.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Číselník">
              <controlPr defaultSize="0" print="0" autoPict="0" altText="Kalendářní rok můžete změnit tlačítkem na číselníku nebo ho můžete změnit v buňce AE3.">
                <anchor moveWithCells="1">
                  <from>
                    <xdr:col>35</xdr:col>
                    <xdr:colOff>0</xdr:colOff>
                    <xdr:row>2</xdr:row>
                    <xdr:rowOff>85725</xdr:rowOff>
                  </from>
                  <to>
                    <xdr:col>35</xdr:col>
                    <xdr:colOff>152400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Začátek</vt:lpstr>
      <vt:lpstr>Rodinný kalendář</vt:lpstr>
      <vt:lpstr>DůležitáData</vt:lpstr>
      <vt:lpstr>'Rodinný kalendář'!Print_Area</vt:lpstr>
      <vt:lpstr>RokKalendáře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Sherry Li (RWS Moravia)</cp:lastModifiedBy>
  <dcterms:created xsi:type="dcterms:W3CDTF">2018-05-25T12:05:00Z</dcterms:created>
  <dcterms:modified xsi:type="dcterms:W3CDTF">2019-06-26T07:32:08Z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