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125" xr2:uid="{00000000-000D-0000-FFFF-FFFF00000000}"/>
  </bookViews>
  <sheets>
    <sheet name="Začátek" sheetId="4" r:id="rId1"/>
    <sheet name="PARAMETRY PROJEKTU" sheetId="1" r:id="rId2"/>
    <sheet name="PODROBNOSTI PROJEKTU" sheetId="2" r:id="rId3"/>
    <sheet name="CELKOVÉ ČÁSTKY PROJEKTU" sheetId="3" r:id="rId4"/>
  </sheets>
  <definedNames>
    <definedName name="_xlnm.Print_Titles" localSheetId="3">'CELKOVÉ ČÁSTKY PROJEKTU'!$5:$5</definedName>
    <definedName name="_xlnm.Print_Titles" localSheetId="2">'PODROBNOSTI PROJEKTU'!$4:$4</definedName>
    <definedName name="TypProjektu">Parametry[TYP PROJEKTU]</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<sst xmlns="http://schemas.openxmlformats.org/spreadsheetml/2006/main" count="107" uniqueCount="82">
  <si>
    <t>INFORMACE O TÉTO ŠABLONĚ</t>
  </si>
  <si>
    <t>Když zadáte název společnosti v listu Parametry projektu, automaticky se doplní do dalších listů.</t>
  </si>
  <si>
    <t>Když zadáte informace do listu Parametry projektu, aktualizují se sloupcové grafy a na listu Podrobnosti projektu. Kontingenční tabulka na listu Celkové částky projektu se aktualizuje automaticky.</t>
  </si>
  <si>
    <t xml:space="preserve">Poznámka:  </t>
  </si>
  <si>
    <t>Další informace o tabulkách na listech si zobrazíte tak, že v tabulce stisknete klávesu SHIFT a potom F10, vyberete možnost TABULKA a pak vyberete ALTERNATIVNÍ TEXT. V kontingenční tabulce Celkové částky projektu stiskněte SHIFT a potom F10, vyberte MOŽNOSTI KONTINGENČNÍ TABULKY a pak vyberte kartu ALTERNATIVNÍ TEXT.</t>
  </si>
  <si>
    <t>Na tomto listu vytvořte Parametry projektu. Do buňky napravo zadejte název společnosti. Užitečné pokyny jsou v buňkách v tomto sloupci.</t>
  </si>
  <si>
    <t>V buňce napravo je název tohoto listu.</t>
  </si>
  <si>
    <t>V buňce napravo je zpráva o důvěrnosti nebo utajení.</t>
  </si>
  <si>
    <t>V buňce napravo je k dispozici tip.</t>
  </si>
  <si>
    <t>Zadejte podrobnosti do tabulky Parametry, která začíná v buňce napravo. Další pokyn je v buňce A12.</t>
  </si>
  <si>
    <t>Zadejte do buněk vpravo Kombinované sazby, buňky C12 až H12. Další pokyn je v buňce A14.</t>
  </si>
  <si>
    <t>Název společnosti</t>
  </si>
  <si>
    <t>Plánování projektu pro advokátní kanceláře</t>
  </si>
  <si>
    <t>Šedě vybarvené buňky se vám počítají automaticky. Nic do nich nezadáváte.</t>
  </si>
  <si>
    <t>TYP PROJEKTU</t>
  </si>
  <si>
    <t>Začlenění společnosti</t>
  </si>
  <si>
    <t>Akvizice společnosti</t>
  </si>
  <si>
    <t>Obhajoba odpovědnosti za výrobek</t>
  </si>
  <si>
    <t>Patentová žádost</t>
  </si>
  <si>
    <t>Soud se zaměstnancem</t>
  </si>
  <si>
    <t>Bankrot</t>
  </si>
  <si>
    <t>Kombinované sazby</t>
  </si>
  <si>
    <t>PLÁNOVANÉ NÁKLADY</t>
  </si>
  <si>
    <t>SKUTEČNÉ NÁKLADY</t>
  </si>
  <si>
    <t>PLÁNOVANÉ HODINY</t>
  </si>
  <si>
    <t>SKUTEČNÉ HODINY</t>
  </si>
  <si>
    <t>GENERÁLNÍ PARTNER</t>
  </si>
  <si>
    <t>OBCHODNÍ PRÁVNÍK</t>
  </si>
  <si>
    <t>FIRMA</t>
  </si>
  <si>
    <t>PRÁVNÍ PORADCE OBHAJOBY</t>
  </si>
  <si>
    <t>DUŠEVNÍ VLASTNICTVÍ – PRÁVNÍK</t>
  </si>
  <si>
    <t>DUŠEVNÍ VLASTN.</t>
  </si>
  <si>
    <t>BANKROTY – PRÁVNÍK</t>
  </si>
  <si>
    <t>BANKROT</t>
  </si>
  <si>
    <t>ADMINISTRATIVNÍ PRACOVNÍCI</t>
  </si>
  <si>
    <t>CELKEM</t>
  </si>
  <si>
    <t>Na tomto listu vytvořte Podrobnosti projektu. V buňce vpravo se automaticky aktualizuje název společnosti. Užitečné pokyny jsou v buňkách v tomto sloupci. Začněte stisknutím šipky dolů.</t>
  </si>
  <si>
    <t>V buňce vpravo je název listu a informační tip najdete v buňce Y2.</t>
  </si>
  <si>
    <t>NÁZEV PROJEKTU</t>
  </si>
  <si>
    <t>Projekt 1</t>
  </si>
  <si>
    <t>Projekt 2</t>
  </si>
  <si>
    <t>Projekt 3</t>
  </si>
  <si>
    <t>Projekt 4</t>
  </si>
  <si>
    <t>Projekt 5</t>
  </si>
  <si>
    <t>PŘEDPOKLÁDANÉ ZAHÁJENÍ</t>
  </si>
  <si>
    <t>PŘEDPOKLÁDANÉ DOKONČENÍ</t>
  </si>
  <si>
    <t>SKUTEČNÉ ZAHÁJENÍ</t>
  </si>
  <si>
    <t>SKUTEČNÉ DOKONČENÍ</t>
  </si>
  <si>
    <t>PŘEDPOKLÁDANÁ PRÁCE</t>
  </si>
  <si>
    <t>SKUTEČNÁ PRÁCE</t>
  </si>
  <si>
    <t>PŘEDPOKLÁDANÁ DOBA TRVÁNÍ</t>
  </si>
  <si>
    <t>SKUTEČNÁ DOBA TRVÁNÍ</t>
  </si>
  <si>
    <t>GENERÁLNÍ PARTNER 2</t>
  </si>
  <si>
    <t>OBCHODNÍ PRÁVNÍK 2</t>
  </si>
  <si>
    <t>PRÁVNÍ PORADCE OBHAJOBY 2</t>
  </si>
  <si>
    <t>DUŠEVNÍ VLASTNICTVÍ – PRÁVNÍK 2</t>
  </si>
  <si>
    <t>BANKROTY – PRÁVNÍK 2</t>
  </si>
  <si>
    <t>ADMINISTRATIVNÍ PRACOVNÍCI 2</t>
  </si>
  <si>
    <t>INFORMACE:
Pokud chcete přidat řádek, vyberte pravou dolní buňku v těle tabulky (ne na řádku celkových částek) a stiskněte klávesu Tab. Další možností je kliknout do tabulky na místo, kam chcete vložit řádek, stisknout SHIFT+F10 a vybrat příkaz Vložit | Řádky tabulky nad/pod.
Nezapomeňte odstranit všechny nepoužité řádky, protože kontingenční tabulka CELKOVÉ ČÁSTKY PROJEKTU používá všechny buňky tabulky, takže kdybyste to neudělali, zobrazovala by nesprávné výsledky.</t>
  </si>
  <si>
    <t>Na tomto listu máte Celkové částky projektu. V buňce vpravo se automaticky aktualizuje název společnosti. Užitečné pokyny jsou v buňkách v tomto sloupci. Začněte stisknutím šipky dolů.</t>
  </si>
  <si>
    <t>Popisek Předpoklad je v buňce C4, popisek Skutečnost v buňce I4, a informační tip je v buňce P4.</t>
  </si>
  <si>
    <t>Kontingenční tabulka začínající v buňce vpravo se aktualizuje automaticky.</t>
  </si>
  <si>
    <t>Celkový součet</t>
  </si>
  <si>
    <t>PŘEDPOKLAD</t>
  </si>
  <si>
    <t xml:space="preserve">GENERÁLNÍ PARTNER </t>
  </si>
  <si>
    <t xml:space="preserve">FIRMA </t>
  </si>
  <si>
    <t xml:space="preserve">PRÁVNÍ PORADCE OBHAJOBY </t>
  </si>
  <si>
    <t xml:space="preserve">DUŠEVNÍ VLASTNICTVÍ </t>
  </si>
  <si>
    <t xml:space="preserve">BANKROT </t>
  </si>
  <si>
    <t xml:space="preserve">ADMINISTRATIVNÍ PRACOVNÍCI </t>
  </si>
  <si>
    <t>SKUTEČNOST</t>
  </si>
  <si>
    <t xml:space="preserve">GENERÁLNÍ PARTNER  </t>
  </si>
  <si>
    <t xml:space="preserve">PRÁVNÍ PORADCE OBHAJOBY  </t>
  </si>
  <si>
    <t xml:space="preserve">BANKROT  </t>
  </si>
  <si>
    <t xml:space="preserve">DUŠEVNÍ VLASTNICTVÍ  </t>
  </si>
  <si>
    <t xml:space="preserve">ADMINISTRATIVNÍ PRACOVNÍCI  </t>
  </si>
  <si>
    <t>INFORMACE: 
Tato kontingenční tabulka se neaktualizuje automaticky.  Aktualizovat ji můžete tak, že ji vyberete (kliknete na libovolnou buňku v kontingenční tabulce) a na kartě NÁSTROJE KONTINGENČNÍ TABULKY | ANALÝZA vyberete Aktualizovat.  Můžete také vybrat kontingenční tabulku, stisknout SHIFT+F10 a vybrat Aktualizovat.</t>
  </si>
  <si>
    <t xml:space="preserve">FIRMA  </t>
  </si>
  <si>
    <t>Tento sešit slouží ke sledování parametry projektu, podrobnosti projektu a celkové částky projektu při plánování projektu pro advokátní kanceláře.</t>
  </si>
  <si>
    <t>Další pokyny jsou k dispozici ve sloupci A na každém listu. Tento text je záměrně skrytý. Pokud ho chcete odebrat, vyberte sloupec A a stiskněte klávesu ODSTRANIT. Pokud ho chcete zobrazit, vyberte sloupec A a změňte barvu písma.</t>
  </si>
  <si>
    <t>V buňce napravo je sloupcový graf, který zobrazuje porovnání mezi plánované a skutečné náklady, a sloupcový graf, který zobrazuje porovnání mezi plánované a skutečné hodiny, je v buňce F14.</t>
  </si>
  <si>
    <t>Zadejte informace do tabulky Podrobnosti, která začíná v buňce napravo. Typ projektu v tabulce podrobnosti napravo se aktualizují automaticky z tabulky Parametry na listu Parametry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</si>
</sst>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8" formatCode="#,##0\ &quot;Kč&quot;"/>
    <numFmt numFmtId="169" formatCode="#,##0.00\ &quot;Kč&quot;"/>
  </numFmts>
  <fonts count="31"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
      <sz val="11"/>
      <color rgb="FFFF0000"/>
      <name val="Cambria"/>
      <family val="1"/>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5">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8" fontId="6" fillId="0" borderId="0" xfId="0" applyNumberFormat="1" applyFont="1"/>
    <xf numFmtId="168" fontId="0" fillId="0" borderId="0" xfId="0" applyNumberFormat="1"/>
    <xf numFmtId="169"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xf numFmtId="0" fontId="30" fillId="0" borderId="0" xfId="0" applyFont="1"/>
    <xf numFmtId="169" fontId="8" fillId="0" borderId="0" xfId="0" applyNumberFormat="1" applyFont="1"/>
  </cellXfs>
  <cellStyles count="47">
    <cellStyle name="20 % – Zvýraznění 1" xfId="24" builtinId="30" customBuiltin="1"/>
    <cellStyle name="20 % – Zvýraznění 2" xfId="28" builtinId="34" customBuiltin="1"/>
    <cellStyle name="20 % – Zvýraznění 3" xfId="32" builtinId="38" customBuiltin="1"/>
    <cellStyle name="20 % – Zvýraznění 4" xfId="36" builtinId="42" customBuiltin="1"/>
    <cellStyle name="20 % – Zvýraznění 5" xfId="40" builtinId="46" customBuiltin="1"/>
    <cellStyle name="20 % – Zvýraznění 6" xfId="44" builtinId="50" customBuiltin="1"/>
    <cellStyle name="40 % – Zvýraznění 1" xfId="25" builtinId="31" customBuiltin="1"/>
    <cellStyle name="40 % – Zvýraznění 2" xfId="29" builtinId="35" customBuiltin="1"/>
    <cellStyle name="40 % – Zvýraznění 3" xfId="33" builtinId="39" customBuiltin="1"/>
    <cellStyle name="40 % – Zvýraznění 4" xfId="37" builtinId="43" customBuiltin="1"/>
    <cellStyle name="40 % – Zvýraznění 5" xfId="41" builtinId="47" customBuiltin="1"/>
    <cellStyle name="40 % – Zvýraznění 6" xfId="45" builtinId="51" customBuiltin="1"/>
    <cellStyle name="60 % – Zvýraznění 1" xfId="26" builtinId="32" customBuiltin="1"/>
    <cellStyle name="60 % – Zvýraznění 2" xfId="30" builtinId="36" customBuiltin="1"/>
    <cellStyle name="60 % – Zvýraznění 3" xfId="34" builtinId="40" customBuiltin="1"/>
    <cellStyle name="60 % – Zvýraznění 4" xfId="38" builtinId="44" customBuiltin="1"/>
    <cellStyle name="60 % – Zvýraznění 5" xfId="42" builtinId="48" customBuiltin="1"/>
    <cellStyle name="60 % – Zvýraznění 6" xfId="46" builtinId="52" customBuiltin="1"/>
    <cellStyle name="Celkem" xfId="22" builtinId="25" customBuiltin="1"/>
    <cellStyle name="Čárka" xfId="5" builtinId="3" customBuiltin="1"/>
    <cellStyle name="Čárky bez des. míst" xfId="6" builtinId="6" customBuiltin="1"/>
    <cellStyle name="Kontrolní buňka" xfId="18" builtinId="23" customBuiltin="1"/>
    <cellStyle name="Měna" xfId="7" builtinId="4" customBuiltin="1"/>
    <cellStyle name="Měny bez des. míst" xfId="8" builtinId="7" customBuiltin="1"/>
    <cellStyle name="Nadpis 1" xfId="1" builtinId="16" customBuiltin="1"/>
    <cellStyle name="Nadpis 2" xfId="2" builtinId="17" customBuiltin="1"/>
    <cellStyle name="Nadpis 3" xfId="3" builtinId="18" customBuiltin="1"/>
    <cellStyle name="Nadpis 4" xfId="4" builtinId="19" customBuiltin="1"/>
    <cellStyle name="Název" xfId="10" builtinId="15" customBuiltin="1"/>
    <cellStyle name="Neutrální" xfId="13" builtinId="28" customBuiltin="1"/>
    <cellStyle name="Normální" xfId="0" builtinId="0" customBuiltin="1"/>
    <cellStyle name="Poznámka" xfId="20" builtinId="10" customBuiltin="1"/>
    <cellStyle name="Procenta" xfId="9" builtinId="5" customBuiltin="1"/>
    <cellStyle name="Propojená buňka" xfId="17" builtinId="24" customBuiltin="1"/>
    <cellStyle name="Správně" xfId="11" builtinId="26" customBuiltin="1"/>
    <cellStyle name="Špatně" xfId="12" builtinId="27" customBuiltin="1"/>
    <cellStyle name="Text upozornění" xfId="19" builtinId="11" customBuiltin="1"/>
    <cellStyle name="Vstup" xfId="14" builtinId="20" customBuiltin="1"/>
    <cellStyle name="Výpočet" xfId="16" builtinId="22" customBuiltin="1"/>
    <cellStyle name="Výstup" xfId="15" builtinId="21" customBuiltin="1"/>
    <cellStyle name="Vysvětlující text" xfId="21" builtinId="53" customBuiltin="1"/>
    <cellStyle name="Zvýraznění 1" xfId="23" builtinId="29" customBuiltin="1"/>
    <cellStyle name="Zvýraznění 2" xfId="27" builtinId="33" customBuiltin="1"/>
    <cellStyle name="Zvýraznění 3" xfId="31" builtinId="37" customBuiltin="1"/>
    <cellStyle name="Zvýraznění 4" xfId="35" builtinId="41" customBuiltin="1"/>
    <cellStyle name="Zvýraznění 5" xfId="39" builtinId="45" customBuiltin="1"/>
    <cellStyle name="Zvýraznění 6" xfId="43" builtinId="49" customBuiltin="1"/>
  </cellStyles>
  <dxfs count="221">
    <dxf>
      <alignment wrapText="1"/>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9" formatCode="#,##0.00\ &quot;Kč&quot;"/>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numFmt numFmtId="167" formatCode="&quot;Kč&quot;\ #,##0.00"/>
    </dxf>
    <dxf>
      <alignment wrapText="1"/>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168" formatCode="#,##0\ &quot;Kč&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PLÁNOVANÉ A SKUTEČNÉ NÁKLADY</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cs-CZ"/>
        </a:p>
      </c:txPr>
    </c:title>
    <c:autoTitleDeleted val="0"/>
    <c:plotArea>
      <c:layout/>
      <c:barChart>
        <c:barDir val="col"/>
        <c:grouping val="clustered"/>
        <c:varyColors val="0"/>
        <c:ser>
          <c:idx val="0"/>
          <c:order val="0"/>
          <c:tx>
            <c:strRef>
              <c:f>'PARAMETRY PROJEKTU'!$B$16</c:f>
              <c:strCache>
                <c:ptCount val="1"/>
                <c:pt idx="0">
                  <c:v>PLÁNOVANÉ NÁKLADY</c:v>
                </c:pt>
              </c:strCache>
            </c:strRef>
          </c:tx>
          <c:spPr>
            <a:solidFill>
              <a:schemeClr val="accent1"/>
            </a:solidFill>
            <a:ln>
              <a:noFill/>
            </a:ln>
            <a:effectLst/>
          </c:spPr>
          <c:invertIfNegative val="0"/>
          <c:cat>
            <c:strRef>
              <c:f>'PARAMETRY PROJEKTU'!$C$15:$H$15</c:f>
              <c:strCache>
                <c:ptCount val="6"/>
                <c:pt idx="0">
                  <c:v>GENERÁLNÍ PARTNER</c:v>
                </c:pt>
                <c:pt idx="1">
                  <c:v>FIRMA</c:v>
                </c:pt>
                <c:pt idx="2">
                  <c:v>PRÁVNÍ PORADCE OBHAJOBY</c:v>
                </c:pt>
                <c:pt idx="3">
                  <c:v>DUŠEVNÍ VLASTN.</c:v>
                </c:pt>
                <c:pt idx="4">
                  <c:v>BANKROT</c:v>
                </c:pt>
                <c:pt idx="5">
                  <c:v>ADMINISTRATIVNÍ PRACOVNÍCI</c:v>
                </c:pt>
              </c:strCache>
            </c:strRef>
          </c:cat>
          <c:val>
            <c:numRef>
              <c:f>'PARAMETRY PROJEKTU'!$C$16:$H$16</c:f>
              <c:numCache>
                <c:formatCode>#\ ##0.00\ "Kč"</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'PARAMETRY PROJEKTU'!$B$17</c:f>
              <c:strCache>
                <c:ptCount val="1"/>
                <c:pt idx="0">
                  <c:v>SKUTEČNÉ NÁKLADY</c:v>
                </c:pt>
              </c:strCache>
            </c:strRef>
          </c:tx>
          <c:spPr>
            <a:solidFill>
              <a:schemeClr val="accent2"/>
            </a:solidFill>
            <a:ln>
              <a:noFill/>
            </a:ln>
            <a:effectLst/>
          </c:spPr>
          <c:invertIfNegative val="0"/>
          <c:cat>
            <c:strRef>
              <c:f>'PARAMETRY PROJEKTU'!$C$15:$H$15</c:f>
              <c:strCache>
                <c:ptCount val="6"/>
                <c:pt idx="0">
                  <c:v>GENERÁLNÍ PARTNER</c:v>
                </c:pt>
                <c:pt idx="1">
                  <c:v>FIRMA</c:v>
                </c:pt>
                <c:pt idx="2">
                  <c:v>PRÁVNÍ PORADCE OBHAJOBY</c:v>
                </c:pt>
                <c:pt idx="3">
                  <c:v>DUŠEVNÍ VLASTN.</c:v>
                </c:pt>
                <c:pt idx="4">
                  <c:v>BANKROT</c:v>
                </c:pt>
                <c:pt idx="5">
                  <c:v>ADMINISTRATIVNÍ PRACOVNÍCI</c:v>
                </c:pt>
              </c:strCache>
            </c:strRef>
          </c:cat>
          <c:val>
            <c:numRef>
              <c:f>'PARAMETRY PROJEKTU'!$C$17:$H$17</c:f>
              <c:numCache>
                <c:formatCode>#\ ##0.00\ "Kč"</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cs-CZ"/>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Kč&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PLÁNOVANÉ A SKUTEČNÉ HODINY</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cs-CZ"/>
        </a:p>
      </c:txPr>
    </c:title>
    <c:autoTitleDeleted val="0"/>
    <c:plotArea>
      <c:layout/>
      <c:barChart>
        <c:barDir val="col"/>
        <c:grouping val="clustered"/>
        <c:varyColors val="0"/>
        <c:ser>
          <c:idx val="0"/>
          <c:order val="0"/>
          <c:tx>
            <c:strRef>
              <c:f>'PARAMETRY PROJEKTU'!$B$18</c:f>
              <c:strCache>
                <c:ptCount val="1"/>
                <c:pt idx="0">
                  <c:v>PLÁNOVANÉ HODINY</c:v>
                </c:pt>
              </c:strCache>
            </c:strRef>
          </c:tx>
          <c:spPr>
            <a:solidFill>
              <a:schemeClr val="accent1"/>
            </a:solidFill>
            <a:ln>
              <a:noFill/>
            </a:ln>
            <a:effectLst/>
          </c:spPr>
          <c:invertIfNegative val="0"/>
          <c:cat>
            <c:strRef>
              <c:f>'PARAMETRY PROJEKTU'!$C$15:$H$15</c:f>
              <c:strCache>
                <c:ptCount val="6"/>
                <c:pt idx="0">
                  <c:v>GENERÁLNÍ PARTNER</c:v>
                </c:pt>
                <c:pt idx="1">
                  <c:v>FIRMA</c:v>
                </c:pt>
                <c:pt idx="2">
                  <c:v>PRÁVNÍ PORADCE OBHAJOBY</c:v>
                </c:pt>
                <c:pt idx="3">
                  <c:v>DUŠEVNÍ VLASTN.</c:v>
                </c:pt>
                <c:pt idx="4">
                  <c:v>BANKROT</c:v>
                </c:pt>
                <c:pt idx="5">
                  <c:v>ADMINISTRATIVNÍ PRACOVNÍCI</c:v>
                </c:pt>
              </c:strCache>
            </c:strRef>
          </c:cat>
          <c:val>
            <c:numRef>
              <c:f>'PARAMETRY PROJEKTU'!$C$18:$H$18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'PARAMETRY PROJEKTU'!$B$19</c:f>
              <c:strCache>
                <c:ptCount val="1"/>
                <c:pt idx="0">
                  <c:v>SKUTEČNÉ HODINY</c:v>
                </c:pt>
              </c:strCache>
            </c:strRef>
          </c:tx>
          <c:spPr>
            <a:solidFill>
              <a:schemeClr val="accent2"/>
            </a:solidFill>
            <a:ln>
              <a:noFill/>
            </a:ln>
            <a:effectLst/>
          </c:spPr>
          <c:invertIfNegative val="0"/>
          <c:cat>
            <c:strRef>
              <c:f>'PARAMETRY PROJEKTU'!$C$15:$H$15</c:f>
              <c:strCache>
                <c:ptCount val="6"/>
                <c:pt idx="0">
                  <c:v>GENERÁLNÍ PARTNER</c:v>
                </c:pt>
                <c:pt idx="1">
                  <c:v>FIRMA</c:v>
                </c:pt>
                <c:pt idx="2">
                  <c:v>PRÁVNÍ PORADCE OBHAJOBY</c:v>
                </c:pt>
                <c:pt idx="3">
                  <c:v>DUŠEVNÍ VLASTN.</c:v>
                </c:pt>
                <c:pt idx="4">
                  <c:v>BANKROT</c:v>
                </c:pt>
                <c:pt idx="5">
                  <c:v>ADMINISTRATIVNÍ PRACOVNÍCI</c:v>
                </c:pt>
              </c:strCache>
            </c:strRef>
          </c:cat>
          <c:val>
            <c:numRef>
              <c:f>'PARAMETRY PROJEKTU'!$C$19:$H$19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cs-CZ"/>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12</xdr:row>
      <xdr:rowOff>180974</xdr:rowOff>
    </xdr:from>
    <xdr:to>
      <xdr:col>4</xdr:col>
      <xdr:colOff>1502775</xdr:colOff>
      <xdr:row>42</xdr:row>
      <xdr:rowOff>76200</xdr:rowOff>
    </xdr:to>
    <xdr:graphicFrame macro="">
      <xdr:nvGraphicFramePr>
        <xdr:cNvPr id="7" name="Graf 6" descr="Sloupcový graf zobrazující porovnání plánovaných a skutečných nákladů">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1695449</xdr:colOff>
      <xdr:row>12</xdr:row>
      <xdr:rowOff>180974</xdr:rowOff>
    </xdr:from>
    <xdr:to>
      <xdr:col>8</xdr:col>
      <xdr:colOff>523799</xdr:colOff>
      <xdr:row>42</xdr:row>
      <xdr:rowOff>76200</xdr:rowOff>
    </xdr:to>
    <xdr:graphicFrame macro="">
      <xdr:nvGraphicFramePr>
        <xdr:cNvPr id="8" name="Graf 7" descr="Sloupcový graf zobrazující porovnání plánovaných a skutečných hodin">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142876</xdr:rowOff>
    </xdr:to>
    <xdr:sp macro="" textlink="">
      <xdr:nvSpPr>
        <xdr:cNvPr id="3" name="Obdélník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cs" sz="1800">
              <a:solidFill>
                <a:schemeClr val="tx1">
                  <a:lumMod val="65000"/>
                  <a:lumOff val="35000"/>
                </a:schemeClr>
              </a:solidFill>
              <a:latin typeface="+mj-lt"/>
            </a:rPr>
            <a:t>INFORMACE</a:t>
          </a:r>
        </a:p>
        <a:p>
          <a:pPr algn="l" rtl="0"/>
          <a:endParaRPr lang="en-US" sz="1100">
            <a:solidFill>
              <a:schemeClr val="tx1">
                <a:lumMod val="65000"/>
                <a:lumOff val="35000"/>
              </a:schemeClr>
            </a:solidFill>
          </a:endParaRPr>
        </a:p>
        <a:p>
          <a:pPr algn="l" rtl="0"/>
          <a:r>
            <a:rPr lang="cs" sz="1100">
              <a:solidFill>
                <a:schemeClr val="tx1">
                  <a:lumMod val="65000"/>
                  <a:lumOff val="35000"/>
                </a:schemeClr>
              </a:solidFill>
            </a:rPr>
            <a:t>Pokud chcete přidat řádek, vyberte</a:t>
          </a:r>
          <a:r>
            <a:rPr lang="cs" sz="1100" baseline="0">
              <a:solidFill>
                <a:schemeClr val="tx1">
                  <a:lumMod val="65000"/>
                  <a:lumOff val="35000"/>
                </a:schemeClr>
              </a:solidFill>
            </a:rPr>
            <a:t> pravou dolní buňku v těle tabulky (ne na řádku celkových částek) a stiskněte klávesu Tab. Další možností je kliknout do tabulky na místo, kam chcete vložit řádek, stisknout SHIFT+F10 a vybrat příkaz Vložit | Řádky tabulky nad/pod.</a:t>
          </a:r>
        </a:p>
        <a:p>
          <a:pPr algn="l" rtl="0"/>
          <a:endParaRPr lang="en-US" sz="1100" baseline="0">
            <a:solidFill>
              <a:schemeClr val="tx1">
                <a:lumMod val="65000"/>
                <a:lumOff val="35000"/>
              </a:schemeClr>
            </a:solidFill>
          </a:endParaRPr>
        </a:p>
        <a:p>
          <a:pPr algn="l" rtl="0"/>
          <a:r>
            <a:rPr lang="cs" sz="1100" baseline="0">
              <a:solidFill>
                <a:schemeClr val="tx1">
                  <a:lumMod val="65000"/>
                  <a:lumOff val="35000"/>
                </a:schemeClr>
              </a:solidFill>
            </a:rPr>
            <a:t>Nezapomeňte odstranit všechny nepoužité řádky, protože kontingenční tabulka CELKOVÉ ČÁSTKY PROJEKTU používá všechny buňky tabulky, takže kdybyste to neudělali, zobrazovala by nesprávné výsledky.</a:t>
          </a:r>
        </a:p>
        <a:p>
          <a:pPr algn="l" rtl="0"/>
          <a:endParaRPr lang="en-US" sz="1100" baseline="0">
            <a:solidFill>
              <a:schemeClr val="tx1">
                <a:lumMod val="65000"/>
                <a:lumOff val="35000"/>
              </a:schemeClr>
            </a:solidFill>
          </a:endParaRPr>
        </a:p>
        <a:p>
          <a:pPr algn="l" rtl="0"/>
          <a:r>
            <a:rPr lang="cs" sz="1100" baseline="0">
              <a:solidFill>
                <a:schemeClr val="tx1">
                  <a:lumMod val="65000"/>
                  <a:lumOff val="35000"/>
                </a:schemeClr>
              </a:solidFill>
            </a:rPr>
            <a:t>Pokud chcete odstranit tento tip, vyberte libovolný okraj a stiskněte klávesu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Obdélník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cs" sz="1800">
              <a:solidFill>
                <a:schemeClr val="tx1">
                  <a:lumMod val="65000"/>
                  <a:lumOff val="35000"/>
                </a:schemeClr>
              </a:solidFill>
              <a:latin typeface="+mj-lt"/>
            </a:rPr>
            <a:t>INFORMACE</a:t>
          </a:r>
        </a:p>
        <a:p>
          <a:pPr algn="l" rtl="0"/>
          <a:endParaRPr lang="en-US" sz="1100">
            <a:solidFill>
              <a:schemeClr val="tx1">
                <a:lumMod val="65000"/>
                <a:lumOff val="35000"/>
              </a:schemeClr>
            </a:solidFill>
          </a:endParaRPr>
        </a:p>
        <a:p>
          <a:pPr algn="l" rtl="0"/>
          <a:r>
            <a:rPr lang="cs" sz="1100">
              <a:solidFill>
                <a:schemeClr val="tx1">
                  <a:lumMod val="65000"/>
                  <a:lumOff val="35000"/>
                </a:schemeClr>
              </a:solidFill>
            </a:rPr>
            <a:t>Tato kontingenční tabulka se neaktualizuje automaticky.  Aktualizovat ji můžete tak, že ji vyberete</a:t>
          </a:r>
          <a:r>
            <a:rPr lang="cs" sz="1100" baseline="0">
              <a:solidFill>
                <a:schemeClr val="tx1">
                  <a:lumMod val="65000"/>
                  <a:lumOff val="35000"/>
                </a:schemeClr>
              </a:solidFill>
            </a:rPr>
            <a:t> (kliknete na libovolnou buňku v kontingenční tabulce) a na kartě NÁSTROJE KONTINGENČNÍ TABULKY | ANALÝZA stisknete Aktualizovat.  Můžete také v kontingenční tabulce stisknout SHIFT a potom F10 a vybrat Aktualizovat.</a:t>
          </a:r>
        </a:p>
        <a:p>
          <a:pPr algn="l" rtl="0"/>
          <a:endParaRPr lang="en-US" sz="1100" baseline="0">
            <a:solidFill>
              <a:schemeClr val="tx1">
                <a:lumMod val="65000"/>
                <a:lumOff val="35000"/>
              </a:schemeClr>
            </a:solidFill>
          </a:endParaRPr>
        </a:p>
        <a:p>
          <a:pPr algn="l" rtl="0"/>
          <a:r>
            <a:rPr lang="cs" sz="1100" baseline="0">
              <a:solidFill>
                <a:schemeClr val="tx1">
                  <a:lumMod val="65000"/>
                  <a:lumOff val="35000"/>
                </a:schemeClr>
              </a:solidFill>
            </a:rPr>
            <a:t>Pokud chcete odstranit tento tip, vyberte libovolný okraj a stiskněte klávesu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1.6793056713" createdVersion="5" refreshedVersion="6" minRefreshableVersion="3" recordCount="5" xr:uid="{00000000-000A-0000-FFFF-FFFF00000000}">
  <cacheSource type="worksheet">
    <worksheetSource name="Podrobnosti"/>
  </cacheSource>
  <cacheFields count="22">
    <cacheField name="NÁZEV PROJEKTU" numFmtId="0">
      <sharedItems count="5">
        <s v="Projekt 1"/>
        <s v="Projekt 2"/>
        <s v="Projekt 3"/>
        <s v="Projekt 4"/>
        <s v="Projekt 5"/>
      </sharedItems>
    </cacheField>
    <cacheField name="TYP PROJEKTU" numFmtId="0">
      <sharedItems/>
    </cacheField>
    <cacheField name="PŘEDPOKLÁDANÉ ZAHÁJENÍ" numFmtId="14">
      <sharedItems containsSemiMixedTypes="0" containsNonDate="0" containsDate="1" containsString="0" minDate="2019-02-15T00:00:00" maxDate="2019-09-24T00:00:00"/>
    </cacheField>
    <cacheField name="PŘEDPOKLÁDANÉ DOKONČENÍ" numFmtId="14">
      <sharedItems containsSemiMixedTypes="0" containsNonDate="0" containsDate="1" containsString="0" minDate="2019-04-16T00:00:00" maxDate="2019-10-24T00:00:00"/>
    </cacheField>
    <cacheField name="SKUTEČNÉ ZAHÁJENÍ" numFmtId="14">
      <sharedItems containsSemiMixedTypes="0" containsNonDate="0" containsDate="1" containsString="0" minDate="2019-02-25T00:00:00" maxDate="2019-10-04T00:00:00"/>
    </cacheField>
    <cacheField name="SKUTEČNÉ DOKONČENÍ" numFmtId="14">
      <sharedItems containsSemiMixedTypes="0" containsNonDate="0" containsDate="1" containsString="0" minDate="2019-04-21T00:00:00" maxDate="2019-11-02T00:00:00"/>
    </cacheField>
    <cacheField name="PŘEDPOKLÁDANÁ PRÁCE" numFmtId="0">
      <sharedItems containsSemiMixedTypes="0" containsString="0" containsNumber="1" containsInteger="1" minValue="150" maxValue="500"/>
    </cacheField>
    <cacheField name="SKUTEČNÁ PRÁCE" numFmtId="0">
      <sharedItems containsSemiMixedTypes="0" containsString="0" containsNumber="1" containsInteger="1" minValue="145" maxValue="500"/>
    </cacheField>
    <cacheField name="PŘEDPOKLÁDANÁ DOBA TRVÁNÍ" numFmtId="0">
      <sharedItems containsSemiMixedTypes="0" containsString="0" containsNumber="1" containsInteger="1" minValue="0" maxValue="69"/>
    </cacheField>
    <cacheField name="SKUTEČNÁ DOBA TRVÁNÍ" numFmtId="0">
      <sharedItems containsSemiMixedTypes="0" containsString="0" containsNumber="1" containsInteger="1" minValue="0" maxValue="68"/>
    </cacheField>
    <cacheField name="GENERÁLNÍ PARTNER" numFmtId="168">
      <sharedItems containsSemiMixedTypes="0" containsString="0" containsNumber="1" containsInteger="1" minValue="5250" maxValue="35000"/>
    </cacheField>
    <cacheField name="OBCHODNÍ PRÁVNÍK" numFmtId="168">
      <sharedItems containsSemiMixedTypes="0" containsString="0" containsNumber="1" containsInteger="1" minValue="0" maxValue="40000"/>
    </cacheField>
    <cacheField name="PRÁVNÍ PORADCE OBHAJOBY" numFmtId="168">
      <sharedItems containsSemiMixedTypes="0" containsString="0" containsNumber="1" containsInteger="1" minValue="0" maxValue="75000"/>
    </cacheField>
    <cacheField name="DUŠEVNÍ VLASTNICTVÍ – PRÁVNÍK" numFmtId="168">
      <sharedItems containsSemiMixedTypes="0" containsString="0" containsNumber="1" containsInteger="1" minValue="0" maxValue="24750"/>
    </cacheField>
    <cacheField name="BANKROTY – PRÁVNÍK" numFmtId="168">
      <sharedItems containsSemiMixedTypes="0" containsString="0" containsNumber="1" containsInteger="1" minValue="0" maxValue="0"/>
    </cacheField>
    <cacheField name="ADMINISTRATIVNÍ PRACOVNÍCI" numFmtId="168">
      <sharedItems containsSemiMixedTypes="0" containsString="0" containsNumber="1" containsInteger="1" minValue="5625" maxValue="20000"/>
    </cacheField>
    <cacheField name="GENERÁLNÍ PARTNER 2" numFmtId="168">
      <sharedItems containsSemiMixedTypes="0" containsString="0" containsNumber="1" containsInteger="1" minValue="5075" maxValue="35000"/>
    </cacheField>
    <cacheField name="OBCHODNÍ PRÁVNÍK 2" numFmtId="168">
      <sharedItems containsSemiMixedTypes="0" containsString="0" containsNumber="1" containsInteger="1" minValue="0" maxValue="39000"/>
    </cacheField>
    <cacheField name="PRÁVNÍ PORADCE OBHAJOBY 2" numFmtId="168">
      <sharedItems containsSemiMixedTypes="0" containsString="0" containsNumber="1" containsInteger="1" minValue="0" maxValue="75000"/>
    </cacheField>
    <cacheField name="DUŠEVNÍ VLASTNICTVÍ – PRÁVNÍK 2" numFmtId="168">
      <sharedItems containsSemiMixedTypes="0" containsString="0" containsNumber="1" containsInteger="1" minValue="0" maxValue="23925"/>
    </cacheField>
    <cacheField name="BANKROTY – PRÁVNÍK 2" numFmtId="168">
      <sharedItems containsSemiMixedTypes="0" containsString="0" containsNumber="1" containsInteger="1" minValue="0" maxValue="0"/>
    </cacheField>
    <cacheField name="ADMINISTRATIVNÍ PRACOVNÍCI 2" numFmtId="168">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Začlenění společnosti"/>
    <d v="2019-02-15T00:00:00"/>
    <d v="2019-04-16T00:00:00"/>
    <d v="2019-02-25T00:00:00"/>
    <d v="2019-04-21T00:00:00"/>
    <n v="200"/>
    <n v="220"/>
    <n v="61"/>
    <n v="56"/>
    <n v="7000"/>
    <n v="20000"/>
    <n v="0"/>
    <n v="0"/>
    <n v="0"/>
    <n v="12500"/>
    <n v="7700"/>
    <n v="22000"/>
    <n v="0"/>
    <n v="0"/>
    <n v="0"/>
    <n v="13750"/>
  </r>
  <r>
    <x v="1"/>
    <s v="Akvizice společnosti"/>
    <d v="2019-03-17T00:00:00"/>
    <d v="2019-05-26T00:00:00"/>
    <d v="2019-03-27T00:00:00"/>
    <d v="2019-06-05T00:00:00"/>
    <n v="400"/>
    <n v="390"/>
    <n v="69"/>
    <n v="68"/>
    <n v="14000"/>
    <n v="40000"/>
    <n v="0"/>
    <n v="11000"/>
    <n v="0"/>
    <n v="20000"/>
    <n v="13650"/>
    <n v="39000"/>
    <n v="0"/>
    <n v="10725"/>
    <n v="0"/>
    <n v="19500"/>
  </r>
  <r>
    <x v="2"/>
    <s v="Obhajoba odpovědnosti za výrobek"/>
    <d v="2019-07-15T00:00:00"/>
    <d v="2019-07-15T00:00:00"/>
    <d v="2019-07-15T00:00:00"/>
    <d v="2019-08-04T00:00:00"/>
    <n v="500"/>
    <n v="500"/>
    <n v="0"/>
    <n v="19"/>
    <n v="35000"/>
    <n v="0"/>
    <n v="75000"/>
    <n v="0"/>
    <n v="0"/>
    <n v="18750"/>
    <n v="35000"/>
    <n v="0"/>
    <n v="75000"/>
    <n v="0"/>
    <n v="0"/>
    <n v="18750"/>
  </r>
  <r>
    <x v="3"/>
    <s v="Patentová žádost"/>
    <d v="2019-09-03T00:00:00"/>
    <d v="2019-10-03T00:00:00"/>
    <d v="2019-10-03T00:00:00"/>
    <d v="2019-10-03T00:00:00"/>
    <n v="150"/>
    <n v="145"/>
    <n v="30"/>
    <n v="0"/>
    <n v="5250"/>
    <n v="0"/>
    <n v="0"/>
    <n v="24750"/>
    <n v="0"/>
    <n v="5625"/>
    <n v="5075"/>
    <n v="0"/>
    <n v="0"/>
    <n v="23925"/>
    <n v="0"/>
    <n v="5437.5"/>
  </r>
  <r>
    <x v="4"/>
    <s v="Soud se zaměstnancem"/>
    <d v="2019-09-23T00:00:00"/>
    <d v="2019-10-23T00:00:00"/>
    <d v="2019-10-03T00:00:00"/>
    <d v="2019-11-01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ontingenčníTabulkaSoučty"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GENERÁLNÍ PARTNER " fld="10" baseField="0" baseItem="0" numFmtId="169"/>
    <dataField name="FIRMA " fld="11" baseField="0" baseItem="0" numFmtId="169"/>
    <dataField name="PRÁVNÍ PORADCE OBHAJOBY " fld="12" baseField="0" baseItem="0" numFmtId="169"/>
    <dataField name="DUŠEVNÍ VLASTNICTVÍ " fld="13" baseField="0" baseItem="0" numFmtId="169"/>
    <dataField name="BANKROT " fld="14" baseField="0" baseItem="3" numFmtId="169"/>
    <dataField name="ADMINISTRATIVNÍ PRACOVNÍCI " fld="15" baseField="0" baseItem="3" numFmtId="169"/>
    <dataField name="GENERÁLNÍ PARTNER  " fld="16" baseField="0" baseItem="3" numFmtId="169"/>
    <dataField name="FIRMA  " fld="17" baseField="0" baseItem="3" numFmtId="169"/>
    <dataField name="PRÁVNÍ PORADCE OBHAJOBY  " fld="18" baseField="0" baseItem="3" numFmtId="169"/>
    <dataField name="BANKROT  " fld="19" baseField="0" baseItem="3" numFmtId="169"/>
    <dataField name="DUŠEVNÍ VLASTNICTVÍ  " fld="20" baseField="0" baseItem="3" numFmtId="169"/>
    <dataField name="ADMINISTRATIVNÍ PRACOVNÍCI  " fld="21" baseField="0" baseItem="3" numFmtId="169"/>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5"/>
          </reference>
        </references>
      </pivotArea>
    </format>
    <format dxfId="91">
      <pivotArea outline="0" fieldPosition="0">
        <references count="1">
          <reference field="4294967294" count="1">
            <x v="4"/>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V této kontingenční tabulce jsou názvy projektů a vypočítané hodnoty pro všechny položky na listu PARAMETRY PROJEKTU. Výpočty se provádějí tak, že se sazby vynásobí dobou trvání v hodinách uvedenou na listu PODROBNOSTI O PROJEKTU."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y" displayName="Parametry" ref="B5:I11" totalsRowShown="0" headerRowDxfId="220" dataDxfId="219">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 PROJEKTU" dataDxfId="218"/>
    <tableColumn id="2" xr3:uid="{00000000-0010-0000-0000-000002000000}" name="GENERÁLNÍ PARTNER" dataDxfId="217"/>
    <tableColumn id="3" xr3:uid="{00000000-0010-0000-0000-000003000000}" name="OBCHODNÍ PRÁVNÍK" dataDxfId="216"/>
    <tableColumn id="4" xr3:uid="{00000000-0010-0000-0000-000004000000}" name="PRÁVNÍ PORADCE OBHAJOBY" dataDxfId="215"/>
    <tableColumn id="5" xr3:uid="{00000000-0010-0000-0000-000005000000}" name="DUŠEVNÍ VLASTNICTVÍ – PRÁVNÍK" dataDxfId="214"/>
    <tableColumn id="6" xr3:uid="{00000000-0010-0000-0000-000006000000}" name="BANKROTY – PRÁVNÍK" dataDxfId="213"/>
    <tableColumn id="7" xr3:uid="{00000000-0010-0000-0000-000007000000}" name="ADMINISTRATIVNÍ PRACOVNÍCI" dataDxfId="212"/>
    <tableColumn id="8" xr3:uid="{00000000-0010-0000-0000-000008000000}" name="CELKEM" dataDxfId="211">
      <calculatedColumnFormula>SUM(Parametry[[#This Row],[GENERÁLNÍ PARTNER]:[ADMINISTRATIVNÍ PRACOVNÍCI]])</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Do této tabulky zadejte typ projektu a procenta pro generálního partnera, obchodního právníka, právního poradce obhajoby, právníka specializujícího se na duševní vlastnictví, právníka specializujícího se na bankroty a administrativní pracovníky. Součet se vypočítá automatick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drobnosti" displayName="Podrobnosti" ref="B4:W10" totalsRowCount="1" headerRowDxfId="2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ÁZEV PROJEKTU" totalsRowLabel="CELKEM" totalsRowDxfId="209"/>
    <tableColumn id="2" xr3:uid="{00000000-0010-0000-0100-000002000000}" name="TYP PROJEKTU" totalsRowDxfId="208"/>
    <tableColumn id="3" xr3:uid="{00000000-0010-0000-0100-000003000000}" name="PŘEDPOKLÁDANÉ ZAHÁJENÍ" dataDxfId="207" totalsRowDxfId="206"/>
    <tableColumn id="4" xr3:uid="{00000000-0010-0000-0100-000004000000}" name="PŘEDPOKLÁDANÉ DOKONČENÍ" dataDxfId="205" totalsRowDxfId="204"/>
    <tableColumn id="7" xr3:uid="{00000000-0010-0000-0100-000007000000}" name="SKUTEČNÉ ZAHÁJENÍ" dataDxfId="203" totalsRowDxfId="202"/>
    <tableColumn id="8" xr3:uid="{00000000-0010-0000-0100-000008000000}" name="SKUTEČNÉ DOKONČENÍ" dataDxfId="201" totalsRowDxfId="200"/>
    <tableColumn id="5" xr3:uid="{00000000-0010-0000-0100-000005000000}" name="PŘEDPOKLÁDANÁ PRÁCE" totalsRowFunction="sum" totalsRowDxfId="199"/>
    <tableColumn id="9" xr3:uid="{00000000-0010-0000-0100-000009000000}" name="SKUTEČNÁ PRÁCE" totalsRowFunction="sum" totalsRowDxfId="198"/>
    <tableColumn id="6" xr3:uid="{00000000-0010-0000-0100-000006000000}" name="PŘEDPOKLÁDANÁ DOBA TRVÁNÍ" totalsRowFunction="sum" dataDxfId="197" totalsRowDxfId="196">
      <calculatedColumnFormula>DAYS360(Podrobnosti[[#This Row],[PŘEDPOKLÁDANÉ ZAHÁJENÍ]],Podrobnosti[[#This Row],[PŘEDPOKLÁDANÉ DOKONČENÍ]],FALSE)</calculatedColumnFormula>
    </tableColumn>
    <tableColumn id="10" xr3:uid="{00000000-0010-0000-0100-00000A000000}" name="SKUTEČNÁ DOBA TRVÁNÍ" totalsRowFunction="sum" dataDxfId="195" totalsRowDxfId="194">
      <calculatedColumnFormula>DAYS360(Podrobnosti[[#This Row],[SKUTEČNÉ ZAHÁJENÍ]],Podrobnosti[[#This Row],[SKUTEČNÉ DOKONČENÍ]],FALSE)</calculatedColumnFormula>
    </tableColumn>
    <tableColumn id="11" xr3:uid="{00000000-0010-0000-0100-00000B000000}" name="GENERÁLNÍ PARTNER" dataDxfId="193" totalsRowDxfId="192">
      <calculatedColumnFormula>INDEX(Parametry[],MATCH(Podrobnosti[[#This Row],[TYP PROJEKTU]],Parametry[TYP PROJEKTU],0),MATCH(Podrobnosti[[#Headers],[GENERÁLNÍ PARTNER]],Parametry[#Headers],0))*INDEX('PARAMETRY PROJEKTU'!$B$12:$H$12,1,MATCH(Podrobnosti[[#Headers],[GENERÁLNÍ PARTNER]],Parametry[#Headers],0))*Podrobnosti[[#This Row],[PŘEDPOKLÁDANÁ PRÁCE]]</calculatedColumnFormula>
    </tableColumn>
    <tableColumn id="12" xr3:uid="{00000000-0010-0000-0100-00000C000000}" name="OBCHODNÍ PRÁVNÍK" dataDxfId="191" totalsRowDxfId="190">
      <calculatedColumnFormula>INDEX(Parametry[],MATCH(Podrobnosti[[#This Row],[TYP PROJEKTU]],Parametry[TYP PROJEKTU],0),MATCH(Podrobnosti[[#Headers],[OBCHODNÍ PRÁVNÍK]],Parametry[#Headers],0))*INDEX('PARAMETRY PROJEKTU'!$B$12:$H$12,1,MATCH(Podrobnosti[[#Headers],[OBCHODNÍ PRÁVNÍK]],Parametry[#Headers],0))*Podrobnosti[[#This Row],[PŘEDPOKLÁDANÁ PRÁCE]]</calculatedColumnFormula>
    </tableColumn>
    <tableColumn id="13" xr3:uid="{00000000-0010-0000-0100-00000D000000}" name="PRÁVNÍ PORADCE OBHAJOBY" dataDxfId="189" totalsRowDxfId="188">
      <calculatedColumnFormula>INDEX(Parametry[],MATCH(Podrobnosti[[#This Row],[TYP PROJEKTU]],Parametry[TYP PROJEKTU],0),MATCH(Podrobnosti[[#Headers],[PRÁVNÍ PORADCE OBHAJOBY]],Parametry[#Headers],0))*INDEX('PARAMETRY PROJEKTU'!$B$12:$H$12,1,MATCH(Podrobnosti[[#Headers],[PRÁVNÍ PORADCE OBHAJOBY]],Parametry[#Headers],0))*Podrobnosti[[#This Row],[PŘEDPOKLÁDANÁ PRÁCE]]</calculatedColumnFormula>
    </tableColumn>
    <tableColumn id="14" xr3:uid="{00000000-0010-0000-0100-00000E000000}" name="DUŠEVNÍ VLASTNICTVÍ – PRÁVNÍK" dataDxfId="187" totalsRowDxfId="186">
      <calculatedColumnFormula>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calculatedColumnFormula>
    </tableColumn>
    <tableColumn id="15" xr3:uid="{00000000-0010-0000-0100-00000F000000}" name="BANKROTY – PRÁVNÍK" dataDxfId="185" totalsRowDxfId="184">
      <calculatedColumnFormula>INDEX(Parametry[],MATCH(Podrobnosti[[#This Row],[TYP PROJEKTU]],Parametry[TYP PROJEKTU],0),MATCH(Podrobnosti[[#Headers],[BANKROTY – PRÁVNÍK]],Parametry[#Headers],0))*INDEX('PARAMETRY PROJEKTU'!$B$12:$H$12,1,MATCH(Podrobnosti[[#Headers],[BANKROTY – PRÁVNÍK]],Parametry[#Headers],0))*Podrobnosti[[#This Row],[PŘEDPOKLÁDANÁ PRÁCE]]</calculatedColumnFormula>
    </tableColumn>
    <tableColumn id="16" xr3:uid="{00000000-0010-0000-0100-000010000000}" name="ADMINISTRATIVNÍ PRACOVNÍCI" dataDxfId="183" totalsRowDxfId="182">
      <calculatedColumnFormula>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calculatedColumnFormula>
    </tableColumn>
    <tableColumn id="17" xr3:uid="{00000000-0010-0000-0100-000011000000}" name="GENERÁLNÍ PARTNER 2" dataDxfId="181" totalsRowDxfId="180">
      <calculatedColumnFormula>INDEX(Parametry[],MATCH(Podrobnosti[[#This Row],[TYP PROJEKTU]],Parametry[TYP PROJEKTU],0),MATCH(Podrobnosti[[#Headers],[GENERÁLNÍ PARTNER]],Parametry[#Headers],0))*INDEX('PARAMETRY PROJEKTU'!$B$12:$H$12,1,MATCH(Podrobnosti[[#Headers],[GENERÁLNÍ PARTNER]],Parametry[#Headers],0))*Podrobnosti[[#This Row],[SKUTEČNÁ PRÁCE]]</calculatedColumnFormula>
    </tableColumn>
    <tableColumn id="18" xr3:uid="{00000000-0010-0000-0100-000012000000}" name="OBCHODNÍ PRÁVNÍK 2" dataDxfId="179" totalsRowDxfId="178">
      <calculatedColumnFormula>INDEX(Parametry[],MATCH(Podrobnosti[[#This Row],[TYP PROJEKTU]],Parametry[TYP PROJEKTU],0),MATCH(Podrobnosti[[#Headers],[OBCHODNÍ PRÁVNÍK]],Parametry[#Headers],0))*INDEX('PARAMETRY PROJEKTU'!$B$12:$H$12,1,MATCH(Podrobnosti[[#Headers],[OBCHODNÍ PRÁVNÍK]],Parametry[#Headers],0))*Podrobnosti[[#This Row],[SKUTEČNÁ PRÁCE]]</calculatedColumnFormula>
    </tableColumn>
    <tableColumn id="19" xr3:uid="{00000000-0010-0000-0100-000013000000}" name="PRÁVNÍ PORADCE OBHAJOBY 2" dataDxfId="177" totalsRowDxfId="176">
      <calculatedColumnFormula>INDEX(Parametry[],MATCH(Podrobnosti[[#This Row],[TYP PROJEKTU]],Parametry[TYP PROJEKTU],0),MATCH(Podrobnosti[[#Headers],[PRÁVNÍ PORADCE OBHAJOBY]],Parametry[#Headers],0))*INDEX('PARAMETRY PROJEKTU'!$B$12:$H$12,1,MATCH(Podrobnosti[[#Headers],[PRÁVNÍ PORADCE OBHAJOBY]],Parametry[#Headers],0))*Podrobnosti[[#This Row],[SKUTEČNÁ PRÁCE]]</calculatedColumnFormula>
    </tableColumn>
    <tableColumn id="20" xr3:uid="{00000000-0010-0000-0100-000014000000}" name="DUŠEVNÍ VLASTNICTVÍ – PRÁVNÍK 2" dataDxfId="175" totalsRowDxfId="174">
      <calculatedColumnFormula>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calculatedColumnFormula>
    </tableColumn>
    <tableColumn id="21" xr3:uid="{00000000-0010-0000-0100-000015000000}" name="BANKROTY – PRÁVNÍK 2" dataDxfId="173" totalsRowDxfId="172">
      <calculatedColumnFormula>INDEX(Parametry[],MATCH(Podrobnosti[[#This Row],[TYP PROJEKTU]],Parametry[TYP PROJEKTU],0),MATCH(Podrobnosti[[#Headers],[BANKROTY – PRÁVNÍK]],Parametry[#Headers],0))*INDEX('PARAMETRY PROJEKTU'!$B$12:$H$12,1,MATCH(Podrobnosti[[#Headers],[BANKROTY – PRÁVNÍK]],Parametry[#Headers],0))*Podrobnosti[[#This Row],[SKUTEČNÁ PRÁCE]]</calculatedColumnFormula>
    </tableColumn>
    <tableColumn id="22" xr3:uid="{00000000-0010-0000-0100-000016000000}" name="ADMINISTRATIVNÍ PRACOVNÍCI 2" dataDxfId="171" totalsRowDxfId="170">
      <calculatedColumnFormula>INDEX(Parametry[],MATCH(Podrobnosti[[#This Row],[TYP PROJEKTU]],Parametry[TYP PROJEKTU],0),MATCH(Podrobnosti[[#Headers],[ADMINISTRATIVNÍ PRACOVNÍCI]],Parametry[#Headers],0))*INDEX('PARAMETRY PROJEKTU'!$B$12:$H$12,1,MATCH(Podrobnosti[[#Headers],[ADMINISTRATIVNÍ PRACOVNÍCI]],Parametry[#Headers],0))*Podrobnosti[[#This Row],[SKUTEČNÁ PRÁCE]]</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Do této tabulky zadejte název projektu, předpokládaná data zahájení a dokončení, skutečná data zahájení a dokončení a předpokládanou a skutečnou práci. Vyberte typ projektu. Předpokládaná a skutečná doba trvání a součty se počítají automaticky."/>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30" x14ac:dyDescent="0.2">
      <c r="B3" s="19" t="s">
        <v>78</v>
      </c>
    </row>
    <row r="4" spans="2:2" ht="42" customHeight="1" x14ac:dyDescent="0.2">
      <c r="B4" s="19" t="s">
        <v>1</v>
      </c>
    </row>
    <row r="5" spans="2:2" ht="47.25" customHeight="1" x14ac:dyDescent="0.2">
      <c r="B5" s="19" t="s">
        <v>2</v>
      </c>
    </row>
    <row r="6" spans="2:2" ht="22.5" customHeight="1" x14ac:dyDescent="0.2">
      <c r="B6" s="20" t="s">
        <v>3</v>
      </c>
    </row>
    <row r="7" spans="2:2" ht="56.25" customHeight="1" x14ac:dyDescent="0.2">
      <c r="B7" s="19" t="s">
        <v>79</v>
      </c>
    </row>
    <row r="8" spans="2:2" ht="75" customHeight="1" x14ac:dyDescent="0.2">
      <c r="B8" s="19"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2" customWidth="1"/>
    <col min="2" max="2" width="35.7109375" style="5" customWidth="1"/>
    <col min="3" max="3" width="21.42578125" style="5" bestFit="1" customWidth="1"/>
    <col min="4" max="4" width="20.85546875" style="5" bestFit="1" customWidth="1"/>
    <col min="5" max="5" width="29.28515625" style="5" customWidth="1"/>
    <col min="6" max="6" width="33.7109375" style="5" customWidth="1"/>
    <col min="7" max="7" width="25.140625" style="5" customWidth="1"/>
    <col min="8" max="8" width="29.85546875" style="5" customWidth="1"/>
    <col min="9" max="9" width="7.85546875" style="5" bestFit="1" customWidth="1"/>
    <col min="10" max="16384" width="9.140625" style="5"/>
  </cols>
  <sheetData>
    <row r="1" spans="1:9" ht="35.450000000000003" customHeight="1" x14ac:dyDescent="0.35">
      <c r="A1" s="12" t="s">
        <v>5</v>
      </c>
      <c r="B1" s="2" t="s">
        <v>11</v>
      </c>
      <c r="C1" s="2"/>
      <c r="D1" s="2"/>
      <c r="E1" s="2"/>
      <c r="F1" s="2"/>
      <c r="G1" s="2"/>
      <c r="H1" s="2"/>
      <c r="I1" s="2"/>
    </row>
    <row r="2" spans="1:9" ht="19.5" x14ac:dyDescent="0.25">
      <c r="A2" s="12" t="s">
        <v>6</v>
      </c>
      <c r="B2" s="3" t="s">
        <v>12</v>
      </c>
      <c r="C2" s="3"/>
      <c r="D2" s="3"/>
      <c r="E2" s="3"/>
      <c r="F2" s="3"/>
      <c r="G2" s="3"/>
      <c r="H2" s="3"/>
      <c r="I2" s="3"/>
    </row>
    <row r="3" spans="1:9" ht="15" x14ac:dyDescent="0.2">
      <c r="A3" s="12" t="s">
        <v>7</v>
      </c>
      <c r="B3" s="4" t="str">
        <f>B1&amp;" – důvěrné"</f>
        <v>Název společnosti – důvěrné</v>
      </c>
      <c r="C3" s="4"/>
      <c r="D3" s="4"/>
      <c r="E3" s="4"/>
      <c r="F3" s="4"/>
      <c r="G3" s="4"/>
      <c r="H3" s="4"/>
      <c r="I3" s="4"/>
    </row>
    <row r="4" spans="1:9" ht="28.5" customHeight="1" x14ac:dyDescent="0.2">
      <c r="A4" s="12" t="s">
        <v>8</v>
      </c>
      <c r="B4" s="8" t="s">
        <v>13</v>
      </c>
    </row>
    <row r="5" spans="1:9" x14ac:dyDescent="0.2">
      <c r="A5" s="12" t="s">
        <v>9</v>
      </c>
      <c r="B5" s="10" t="s">
        <v>14</v>
      </c>
      <c r="C5" s="10" t="s">
        <v>26</v>
      </c>
      <c r="D5" s="10" t="s">
        <v>27</v>
      </c>
      <c r="E5" s="10" t="s">
        <v>29</v>
      </c>
      <c r="F5" s="10" t="s">
        <v>30</v>
      </c>
      <c r="G5" s="10" t="s">
        <v>32</v>
      </c>
      <c r="H5" s="10" t="s">
        <v>34</v>
      </c>
      <c r="I5" s="10" t="s">
        <v>35</v>
      </c>
    </row>
    <row r="6" spans="1:9" x14ac:dyDescent="0.2">
      <c r="B6" s="5" t="s">
        <v>15</v>
      </c>
      <c r="C6" s="6">
        <v>0.1</v>
      </c>
      <c r="D6" s="6">
        <v>0.4</v>
      </c>
      <c r="E6" s="6">
        <v>0</v>
      </c>
      <c r="F6" s="6">
        <v>0</v>
      </c>
      <c r="G6" s="6">
        <v>0</v>
      </c>
      <c r="H6" s="6">
        <v>0.5</v>
      </c>
      <c r="I6" s="7">
        <f>SUM(Parametry[[#This Row],[GENERÁLNÍ PARTNER]:[ADMINISTRATIVNÍ PRACOVNÍCI]])</f>
        <v>1</v>
      </c>
    </row>
    <row r="7" spans="1:9" x14ac:dyDescent="0.2">
      <c r="B7" s="5" t="s">
        <v>16</v>
      </c>
      <c r="C7" s="6">
        <v>0.1</v>
      </c>
      <c r="D7" s="6">
        <v>0.4</v>
      </c>
      <c r="E7" s="6">
        <v>0</v>
      </c>
      <c r="F7" s="6">
        <v>0.1</v>
      </c>
      <c r="G7" s="6">
        <v>0</v>
      </c>
      <c r="H7" s="6">
        <v>0.4</v>
      </c>
      <c r="I7" s="7">
        <f>SUM(Parametry[[#This Row],[GENERÁLNÍ PARTNER]:[ADMINISTRATIVNÍ PRACOVNÍCI]])</f>
        <v>1</v>
      </c>
    </row>
    <row r="8" spans="1:9" x14ac:dyDescent="0.2">
      <c r="B8" s="5" t="s">
        <v>17</v>
      </c>
      <c r="C8" s="6">
        <v>0.2</v>
      </c>
      <c r="D8" s="6">
        <v>0</v>
      </c>
      <c r="E8" s="6">
        <v>0.5</v>
      </c>
      <c r="F8" s="6">
        <v>0</v>
      </c>
      <c r="G8" s="6">
        <v>0</v>
      </c>
      <c r="H8" s="6">
        <v>0.3</v>
      </c>
      <c r="I8" s="7">
        <f>SUM(Parametry[[#This Row],[GENERÁLNÍ PARTNER]:[ADMINISTRATIVNÍ PRACOVNÍCI]])</f>
        <v>1</v>
      </c>
    </row>
    <row r="9" spans="1:9" x14ac:dyDescent="0.2">
      <c r="B9" s="5" t="s">
        <v>18</v>
      </c>
      <c r="C9" s="6">
        <v>0.1</v>
      </c>
      <c r="D9" s="6">
        <v>0</v>
      </c>
      <c r="E9" s="6">
        <v>0</v>
      </c>
      <c r="F9" s="6">
        <v>0.6</v>
      </c>
      <c r="G9" s="6">
        <v>0</v>
      </c>
      <c r="H9" s="6">
        <v>0.3</v>
      </c>
      <c r="I9" s="7">
        <f>SUM(Parametry[[#This Row],[GENERÁLNÍ PARTNER]:[ADMINISTRATIVNÍ PRACOVNÍCI]])</f>
        <v>1</v>
      </c>
    </row>
    <row r="10" spans="1:9" x14ac:dyDescent="0.2">
      <c r="B10" s="5" t="s">
        <v>19</v>
      </c>
      <c r="C10" s="6">
        <v>0.2</v>
      </c>
      <c r="D10" s="6">
        <v>0.1</v>
      </c>
      <c r="E10" s="6">
        <v>0.4</v>
      </c>
      <c r="F10" s="6">
        <v>0</v>
      </c>
      <c r="G10" s="6">
        <v>0</v>
      </c>
      <c r="H10" s="6">
        <v>0.3</v>
      </c>
      <c r="I10" s="7">
        <f>SUM(Parametry[[#This Row],[GENERÁLNÍ PARTNER]:[ADMINISTRATIVNÍ PRACOVNÍCI]])</f>
        <v>1</v>
      </c>
    </row>
    <row r="11" spans="1:9" x14ac:dyDescent="0.2">
      <c r="B11" s="5" t="s">
        <v>20</v>
      </c>
      <c r="C11" s="6">
        <v>0.1</v>
      </c>
      <c r="D11" s="6">
        <v>0.2</v>
      </c>
      <c r="E11" s="6">
        <v>0</v>
      </c>
      <c r="F11" s="6">
        <v>0</v>
      </c>
      <c r="G11" s="6">
        <v>0.4</v>
      </c>
      <c r="H11" s="6">
        <v>0.3</v>
      </c>
      <c r="I11" s="7">
        <f>SUM(Parametry[[#This Row],[GENERÁLNÍ PARTNER]:[ADMINISTRATIVNÍ PRACOVNÍCI]])</f>
        <v>1</v>
      </c>
    </row>
    <row r="12" spans="1:9" ht="15" x14ac:dyDescent="0.2">
      <c r="A12" s="21" t="s">
        <v>10</v>
      </c>
      <c r="B12" s="5" t="s">
        <v>21</v>
      </c>
      <c r="C12" s="23">
        <v>350</v>
      </c>
      <c r="D12" s="23">
        <v>250</v>
      </c>
      <c r="E12" s="23">
        <v>300</v>
      </c>
      <c r="F12" s="23">
        <v>275</v>
      </c>
      <c r="G12" s="23">
        <v>225</v>
      </c>
      <c r="H12" s="23">
        <v>125</v>
      </c>
      <c r="I12" s="6"/>
    </row>
    <row r="14" spans="1:9" x14ac:dyDescent="0.2">
      <c r="A14" s="12" t="s">
        <v>80</v>
      </c>
      <c r="B14" s="33"/>
      <c r="C14" s="33"/>
      <c r="D14" s="33"/>
      <c r="E14" s="33"/>
      <c r="F14" s="33"/>
      <c r="G14" s="33"/>
      <c r="H14" s="33"/>
      <c r="I14" s="33"/>
    </row>
    <row r="15" spans="1:9" x14ac:dyDescent="0.2">
      <c r="B15" s="12"/>
      <c r="C15" s="12" t="s">
        <v>26</v>
      </c>
      <c r="D15" s="12" t="s">
        <v>28</v>
      </c>
      <c r="E15" s="12" t="s">
        <v>29</v>
      </c>
      <c r="F15" s="12" t="s">
        <v>31</v>
      </c>
      <c r="G15" s="12" t="s">
        <v>33</v>
      </c>
      <c r="H15" s="12" t="s">
        <v>34</v>
      </c>
      <c r="I15" s="12"/>
    </row>
    <row r="16" spans="1:9" x14ac:dyDescent="0.2">
      <c r="B16" s="12" t="s">
        <v>22</v>
      </c>
      <c r="C16" s="34">
        <f>SUBTOTAL(109,Podrobnosti[GENERÁLNÍ PARTNER])</f>
        <v>78750</v>
      </c>
      <c r="D16" s="34">
        <f>SUBTOTAL(109,Podrobnosti[OBCHODNÍ PRÁVNÍK])</f>
        <v>66250</v>
      </c>
      <c r="E16" s="34">
        <f>SUBTOTAL(109,Podrobnosti[PRÁVNÍ PORADCE OBHAJOBY])</f>
        <v>105000</v>
      </c>
      <c r="F16" s="34">
        <f>SUBTOTAL(109,Podrobnosti[DUŠEVNÍ VLASTNICTVÍ – PRÁVNÍK])</f>
        <v>35750</v>
      </c>
      <c r="G16" s="34">
        <f>SUBTOTAL(109,Podrobnosti[BANKROTY – PRÁVNÍK])</f>
        <v>0</v>
      </c>
      <c r="H16" s="34">
        <f>SUBTOTAL(109,Podrobnosti[ADMINISTRATIVNÍ PRACOVNÍCI])</f>
        <v>66250</v>
      </c>
      <c r="I16" s="12"/>
    </row>
    <row r="17" spans="2:9" x14ac:dyDescent="0.2">
      <c r="B17" s="12" t="s">
        <v>23</v>
      </c>
      <c r="C17" s="34">
        <f>SUBTOTAL(109,Podrobnosti[GENERÁLNÍ PARTNER 2])</f>
        <v>79275</v>
      </c>
      <c r="D17" s="34">
        <f>SUBTOTAL(109,Podrobnosti[OBCHODNÍ PRÁVNÍK 2])</f>
        <v>67375</v>
      </c>
      <c r="E17" s="34">
        <f>SUBTOTAL(109,Podrobnosti[PRÁVNÍ PORADCE OBHAJOBY 2])</f>
        <v>105600</v>
      </c>
      <c r="F17" s="34">
        <f>SUBTOTAL(109,Podrobnosti[DUŠEVNÍ VLASTNICTVÍ – PRÁVNÍK 2])</f>
        <v>34650</v>
      </c>
      <c r="G17" s="34">
        <f>SUBTOTAL(109,Podrobnosti[BANKROTY – PRÁVNÍK 2])</f>
        <v>0</v>
      </c>
      <c r="H17" s="34">
        <f>SUBTOTAL(109,Podrobnosti[ADMINISTRATIVNÍ PRACOVNÍCI 2])</f>
        <v>67000</v>
      </c>
      <c r="I17" s="12"/>
    </row>
    <row r="18" spans="2:9" x14ac:dyDescent="0.2">
      <c r="B18" s="12" t="s">
        <v>24</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25</v>
      </c>
      <c r="C19" s="13">
        <f>C17/$C$12</f>
        <v>226.5</v>
      </c>
      <c r="D19" s="13">
        <f>D17/$C$12</f>
        <v>192.5</v>
      </c>
      <c r="E19" s="13">
        <f>E17/$C$12</f>
        <v>301.71428571428572</v>
      </c>
      <c r="F19" s="13">
        <f>F17/$C$12</f>
        <v>99</v>
      </c>
      <c r="G19" s="13">
        <f>G17/$C$12</f>
        <v>0</v>
      </c>
      <c r="H19" s="13">
        <f>H17/$C$12</f>
        <v>191.42857142857142</v>
      </c>
      <c r="I19" s="12"/>
    </row>
    <row r="20" spans="2:9" x14ac:dyDescent="0.2">
      <c r="B20" s="12"/>
      <c r="C20" s="12"/>
      <c r="D20" s="12"/>
      <c r="E20" s="12"/>
      <c r="F20" s="12"/>
      <c r="G20" s="12"/>
      <c r="H20" s="12"/>
      <c r="I20" s="12"/>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29.42578125" style="1" bestFit="1" customWidth="1"/>
    <col min="4" max="5" width="16.7109375" style="1" customWidth="1"/>
    <col min="6" max="7" width="11.85546875" style="1" customWidth="1"/>
    <col min="8" max="8" width="16.85546875" style="1" customWidth="1"/>
    <col min="9" max="9" width="10.85546875" style="1" customWidth="1"/>
    <col min="10" max="10" width="17" style="1" customWidth="1"/>
    <col min="11" max="11" width="10.28515625" style="1" bestFit="1" customWidth="1"/>
    <col min="12" max="12" width="11.85546875" style="1" hidden="1" customWidth="1"/>
    <col min="13" max="13" width="10.85546875" style="1" hidden="1" customWidth="1"/>
    <col min="14" max="14" width="10.28515625" style="1" hidden="1" customWidth="1"/>
    <col min="15" max="15" width="22.28515625" style="1" hidden="1" customWidth="1"/>
    <col min="16" max="16" width="13.140625" style="1" hidden="1" customWidth="1"/>
    <col min="17" max="17" width="18" style="1" hidden="1" customWidth="1"/>
    <col min="18" max="18" width="12.28515625" style="1" hidden="1" customWidth="1"/>
    <col min="19" max="19" width="11.85546875" style="1" hidden="1" customWidth="1"/>
    <col min="20" max="20" width="12.5703125" style="1" hidden="1" customWidth="1"/>
    <col min="21" max="21" width="15.7109375" style="1" hidden="1" customWidth="1"/>
    <col min="22" max="22" width="13.28515625" style="1" hidden="1" customWidth="1"/>
    <col min="23" max="23" width="18.42578125" style="1" hidden="1" customWidth="1"/>
    <col min="24" max="24" width="2.7109375" style="1" customWidth="1"/>
    <col min="25" max="16384" width="9.140625" style="1"/>
  </cols>
  <sheetData>
    <row r="1" spans="1:29" ht="35.450000000000003" customHeight="1" x14ac:dyDescent="0.35">
      <c r="A1" s="12" t="s">
        <v>36</v>
      </c>
      <c r="B1" s="2" t="str">
        <f>'PARAMETRY PROJEKTU'!B1</f>
        <v>Název společnosti</v>
      </c>
      <c r="C1" s="2"/>
      <c r="D1" s="2"/>
      <c r="E1" s="2"/>
      <c r="F1" s="2"/>
      <c r="G1" s="2"/>
      <c r="H1" s="2"/>
      <c r="I1" s="2"/>
      <c r="J1" s="2"/>
      <c r="K1" s="2"/>
    </row>
    <row r="2" spans="1:29" ht="19.5" x14ac:dyDescent="0.25">
      <c r="A2" s="12" t="s">
        <v>37</v>
      </c>
      <c r="B2" s="3" t="str">
        <f>'PARAMETRY PROJEKTU'!B2</f>
        <v>Plánování projektu pro advokátní kanceláře</v>
      </c>
      <c r="C2" s="3"/>
      <c r="D2" s="3"/>
      <c r="E2" s="3"/>
      <c r="F2" s="3"/>
      <c r="G2" s="3"/>
      <c r="H2" s="3"/>
      <c r="I2" s="3"/>
      <c r="J2" s="3"/>
      <c r="K2" s="3"/>
      <c r="Y2" s="26" t="s">
        <v>58</v>
      </c>
      <c r="Z2" s="27"/>
      <c r="AA2" s="27"/>
      <c r="AB2" s="27"/>
      <c r="AC2" s="27"/>
    </row>
    <row r="3" spans="1:29" s="17" customFormat="1" ht="29.25" customHeight="1" x14ac:dyDescent="0.2">
      <c r="A3" s="21" t="s">
        <v>7</v>
      </c>
      <c r="B3" s="16" t="str">
        <f>'PARAMETRY PROJEKTU'!B3</f>
        <v>Název společnosti – důvěrné</v>
      </c>
      <c r="C3" s="16"/>
      <c r="D3" s="16"/>
      <c r="E3" s="16"/>
      <c r="F3" s="16"/>
      <c r="G3" s="16"/>
      <c r="H3" s="16"/>
      <c r="I3" s="16"/>
      <c r="J3" s="16"/>
      <c r="K3" s="16"/>
      <c r="Y3" s="27"/>
      <c r="Z3" s="27"/>
      <c r="AA3" s="27"/>
      <c r="AB3" s="27"/>
      <c r="AC3" s="27"/>
    </row>
    <row r="4" spans="1:29" ht="41.1" customHeight="1" x14ac:dyDescent="0.2">
      <c r="A4" s="21" t="s">
        <v>81</v>
      </c>
      <c r="B4" s="15" t="s">
        <v>38</v>
      </c>
      <c r="C4" s="15" t="s">
        <v>14</v>
      </c>
      <c r="D4" s="15" t="s">
        <v>44</v>
      </c>
      <c r="E4" s="15" t="s">
        <v>45</v>
      </c>
      <c r="F4" s="15" t="s">
        <v>46</v>
      </c>
      <c r="G4" s="15" t="s">
        <v>47</v>
      </c>
      <c r="H4" s="15" t="s">
        <v>48</v>
      </c>
      <c r="I4" s="15" t="s">
        <v>49</v>
      </c>
      <c r="J4" s="15" t="s">
        <v>50</v>
      </c>
      <c r="K4" s="15" t="s">
        <v>51</v>
      </c>
      <c r="L4" s="15" t="s">
        <v>26</v>
      </c>
      <c r="M4" s="15" t="s">
        <v>27</v>
      </c>
      <c r="N4" s="15" t="s">
        <v>29</v>
      </c>
      <c r="O4" s="15" t="s">
        <v>30</v>
      </c>
      <c r="P4" s="15" t="s">
        <v>32</v>
      </c>
      <c r="Q4" s="15" t="s">
        <v>34</v>
      </c>
      <c r="R4" s="15" t="s">
        <v>52</v>
      </c>
      <c r="S4" s="15" t="s">
        <v>53</v>
      </c>
      <c r="T4" s="15" t="s">
        <v>54</v>
      </c>
      <c r="U4" s="15" t="s">
        <v>55</v>
      </c>
      <c r="V4" s="15" t="s">
        <v>56</v>
      </c>
      <c r="W4" s="15" t="s">
        <v>57</v>
      </c>
      <c r="Y4" s="27"/>
      <c r="Z4" s="27"/>
      <c r="AA4" s="27"/>
      <c r="AB4" s="27"/>
      <c r="AC4" s="27"/>
    </row>
    <row r="5" spans="1:29" x14ac:dyDescent="0.2">
      <c r="B5" t="s">
        <v>39</v>
      </c>
      <c r="C5" t="s">
        <v>15</v>
      </c>
      <c r="D5" s="9">
        <f ca="1">TODAY()</f>
        <v>43511</v>
      </c>
      <c r="E5" s="9">
        <f ca="1">TODAY()+60</f>
        <v>43571</v>
      </c>
      <c r="F5" s="9">
        <f ca="1">TODAY()+10</f>
        <v>43521</v>
      </c>
      <c r="G5" s="9">
        <f ca="1">TODAY()+65</f>
        <v>43576</v>
      </c>
      <c r="H5">
        <v>200</v>
      </c>
      <c r="I5">
        <v>220</v>
      </c>
      <c r="J5">
        <f ca="1">DAYS360(Podrobnosti[[#This Row],[PŘEDPOKLÁDANÉ ZAHÁJENÍ]],Podrobnosti[[#This Row],[PŘEDPOKLÁDANÉ DOKONČENÍ]],FALSE)</f>
        <v>61</v>
      </c>
      <c r="K5">
        <f ca="1">DAYS360(Podrobnosti[[#This Row],[SKUTEČNÉ ZAHÁJENÍ]],Podrobnosti[[#This Row],[SKUTEČNÉ DOKONČENÍ]],FALSE)</f>
        <v>56</v>
      </c>
      <c r="L5" s="24">
        <f>INDEX(Parametry[],MATCH(Podrobnosti[[#This Row],[TYP PROJEKTU]],Parametry[TYP PROJEKTU],0),MATCH(Podrobnosti[[#Headers],[GENERÁLNÍ PARTNER]],Parametry[#Headers],0))*INDEX('PARAMETRY PROJEKTU'!$B$12:$H$12,1,MATCH(Podrobnosti[[#Headers],[GENERÁLNÍ PARTNER]],Parametry[#Headers],0))*Podrobnosti[[#This Row],[PŘEDPOKLÁDANÁ PRÁCE]]</f>
        <v>7000</v>
      </c>
      <c r="M5" s="24">
        <f>INDEX(Parametry[],MATCH(Podrobnosti[[#This Row],[TYP PROJEKTU]],Parametry[TYP PROJEKTU],0),MATCH(Podrobnosti[[#Headers],[OBCHODNÍ PRÁVNÍK]],Parametry[#Headers],0))*INDEX('PARAMETRY PROJEKTU'!$B$12:$H$12,1,MATCH(Podrobnosti[[#Headers],[OBCHODNÍ PRÁVNÍK]],Parametry[#Headers],0))*Podrobnosti[[#This Row],[PŘEDPOKLÁDANÁ PRÁCE]]</f>
        <v>20000</v>
      </c>
      <c r="N5" s="24">
        <f>INDEX(Parametry[],MATCH(Podrobnosti[[#This Row],[TYP PROJEKTU]],Parametry[TYP PROJEKTU],0),MATCH(Podrobnosti[[#Headers],[PRÁVNÍ PORADCE OBHAJOBY]],Parametry[#Headers],0))*INDEX('PARAMETRY PROJEKTU'!$B$12:$H$12,1,MATCH(Podrobnosti[[#Headers],[PRÁVNÍ PORADCE OBHAJOBY]],Parametry[#Headers],0))*Podrobnosti[[#This Row],[PŘEDPOKLÁDANÁ PRÁCE]]</f>
        <v>0</v>
      </c>
      <c r="O5" s="24">
        <f>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f>
        <v>0</v>
      </c>
      <c r="P5" s="24">
        <f>INDEX(Parametry[],MATCH(Podrobnosti[[#This Row],[TYP PROJEKTU]],Parametry[TYP PROJEKTU],0),MATCH(Podrobnosti[[#Headers],[BANKROTY – PRÁVNÍK]],Parametry[#Headers],0))*INDEX('PARAMETRY PROJEKTU'!$B$12:$H$12,1,MATCH(Podrobnosti[[#Headers],[BANKROTY – PRÁVNÍK]],Parametry[#Headers],0))*Podrobnosti[[#This Row],[PŘEDPOKLÁDANÁ PRÁCE]]</f>
        <v>0</v>
      </c>
      <c r="Q5" s="24">
        <f>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f>
        <v>12500</v>
      </c>
      <c r="R5" s="24">
        <f>INDEX(Parametry[],MATCH(Podrobnosti[[#This Row],[TYP PROJEKTU]],Parametry[TYP PROJEKTU],0),MATCH(Podrobnosti[[#Headers],[GENERÁLNÍ PARTNER]],Parametry[#Headers],0))*INDEX('PARAMETRY PROJEKTU'!$B$12:$H$12,1,MATCH(Podrobnosti[[#Headers],[GENERÁLNÍ PARTNER]],Parametry[#Headers],0))*Podrobnosti[[#This Row],[SKUTEČNÁ PRÁCE]]</f>
        <v>7700</v>
      </c>
      <c r="S5" s="24">
        <f>INDEX(Parametry[],MATCH(Podrobnosti[[#This Row],[TYP PROJEKTU]],Parametry[TYP PROJEKTU],0),MATCH(Podrobnosti[[#Headers],[OBCHODNÍ PRÁVNÍK]],Parametry[#Headers],0))*INDEX('PARAMETRY PROJEKTU'!$B$12:$H$12,1,MATCH(Podrobnosti[[#Headers],[OBCHODNÍ PRÁVNÍK]],Parametry[#Headers],0))*Podrobnosti[[#This Row],[SKUTEČNÁ PRÁCE]]</f>
        <v>22000</v>
      </c>
      <c r="T5" s="24">
        <f>INDEX(Parametry[],MATCH(Podrobnosti[[#This Row],[TYP PROJEKTU]],Parametry[TYP PROJEKTU],0),MATCH(Podrobnosti[[#Headers],[PRÁVNÍ PORADCE OBHAJOBY]],Parametry[#Headers],0))*INDEX('PARAMETRY PROJEKTU'!$B$12:$H$12,1,MATCH(Podrobnosti[[#Headers],[PRÁVNÍ PORADCE OBHAJOBY]],Parametry[#Headers],0))*Podrobnosti[[#This Row],[SKUTEČNÁ PRÁCE]]</f>
        <v>0</v>
      </c>
      <c r="U5" s="24">
        <f>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f>
        <v>0</v>
      </c>
      <c r="V5" s="24">
        <f>INDEX(Parametry[],MATCH(Podrobnosti[[#This Row],[TYP PROJEKTU]],Parametry[TYP PROJEKTU],0),MATCH(Podrobnosti[[#Headers],[BANKROTY – PRÁVNÍK]],Parametry[#Headers],0))*INDEX('PARAMETRY PROJEKTU'!$B$12:$H$12,1,MATCH(Podrobnosti[[#Headers],[BANKROTY – PRÁVNÍK]],Parametry[#Headers],0))*Podrobnosti[[#This Row],[SKUTEČNÁ PRÁCE]]</f>
        <v>0</v>
      </c>
      <c r="W5" s="24">
        <f>INDEX(Parametry[],MATCH(Podrobnosti[[#This Row],[TYP PROJEKTU]],Parametry[TYP PROJEKTU],0),MATCH(Podrobnosti[[#Headers],[ADMINISTRATIVNÍ PRACOVNÍCI]],Parametry[#Headers],0))*INDEX('PARAMETRY PROJEKTU'!$B$12:$H$12,1,MATCH(Podrobnosti[[#Headers],[ADMINISTRATIVNÍ PRACOVNÍCI]],Parametry[#Headers],0))*Podrobnosti[[#This Row],[SKUTEČNÁ PRÁCE]]</f>
        <v>13750</v>
      </c>
      <c r="Y5" s="27"/>
      <c r="Z5" s="27"/>
      <c r="AA5" s="27"/>
      <c r="AB5" s="27"/>
      <c r="AC5" s="27"/>
    </row>
    <row r="6" spans="1:29" x14ac:dyDescent="0.2">
      <c r="B6" t="s">
        <v>40</v>
      </c>
      <c r="C6" t="s">
        <v>16</v>
      </c>
      <c r="D6" s="9">
        <f ca="1">TODAY()+30</f>
        <v>43541</v>
      </c>
      <c r="E6" s="9">
        <f ca="1">TODAY()+100</f>
        <v>43611</v>
      </c>
      <c r="F6" s="9">
        <f ca="1">TODAY()+40</f>
        <v>43551</v>
      </c>
      <c r="G6" s="9">
        <f ca="1">TODAY()+110</f>
        <v>43621</v>
      </c>
      <c r="H6">
        <v>400</v>
      </c>
      <c r="I6">
        <v>390</v>
      </c>
      <c r="J6">
        <f ca="1">DAYS360(Podrobnosti[[#This Row],[PŘEDPOKLÁDANÉ ZAHÁJENÍ]],Podrobnosti[[#This Row],[PŘEDPOKLÁDANÉ DOKONČENÍ]],FALSE)</f>
        <v>69</v>
      </c>
      <c r="K6">
        <f ca="1">DAYS360(Podrobnosti[[#This Row],[SKUTEČNÉ ZAHÁJENÍ]],Podrobnosti[[#This Row],[SKUTEČNÉ DOKONČENÍ]],FALSE)</f>
        <v>68</v>
      </c>
      <c r="L6" s="24">
        <f>INDEX(Parametry[],MATCH(Podrobnosti[[#This Row],[TYP PROJEKTU]],Parametry[TYP PROJEKTU],0),MATCH(Podrobnosti[[#Headers],[GENERÁLNÍ PARTNER]],Parametry[#Headers],0))*INDEX('PARAMETRY PROJEKTU'!$B$12:$H$12,1,MATCH(Podrobnosti[[#Headers],[GENERÁLNÍ PARTNER]],Parametry[#Headers],0))*Podrobnosti[[#This Row],[PŘEDPOKLÁDANÁ PRÁCE]]</f>
        <v>14000</v>
      </c>
      <c r="M6" s="24">
        <f>INDEX(Parametry[],MATCH(Podrobnosti[[#This Row],[TYP PROJEKTU]],Parametry[TYP PROJEKTU],0),MATCH(Podrobnosti[[#Headers],[OBCHODNÍ PRÁVNÍK]],Parametry[#Headers],0))*INDEX('PARAMETRY PROJEKTU'!$B$12:$H$12,1,MATCH(Podrobnosti[[#Headers],[OBCHODNÍ PRÁVNÍK]],Parametry[#Headers],0))*Podrobnosti[[#This Row],[PŘEDPOKLÁDANÁ PRÁCE]]</f>
        <v>40000</v>
      </c>
      <c r="N6" s="24">
        <f>INDEX(Parametry[],MATCH(Podrobnosti[[#This Row],[TYP PROJEKTU]],Parametry[TYP PROJEKTU],0),MATCH(Podrobnosti[[#Headers],[PRÁVNÍ PORADCE OBHAJOBY]],Parametry[#Headers],0))*INDEX('PARAMETRY PROJEKTU'!$B$12:$H$12,1,MATCH(Podrobnosti[[#Headers],[PRÁVNÍ PORADCE OBHAJOBY]],Parametry[#Headers],0))*Podrobnosti[[#This Row],[PŘEDPOKLÁDANÁ PRÁCE]]</f>
        <v>0</v>
      </c>
      <c r="O6" s="24">
        <f>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f>
        <v>11000</v>
      </c>
      <c r="P6" s="24">
        <f>INDEX(Parametry[],MATCH(Podrobnosti[[#This Row],[TYP PROJEKTU]],Parametry[TYP PROJEKTU],0),MATCH(Podrobnosti[[#Headers],[BANKROTY – PRÁVNÍK]],Parametry[#Headers],0))*INDEX('PARAMETRY PROJEKTU'!$B$12:$H$12,1,MATCH(Podrobnosti[[#Headers],[BANKROTY – PRÁVNÍK]],Parametry[#Headers],0))*Podrobnosti[[#This Row],[PŘEDPOKLÁDANÁ PRÁCE]]</f>
        <v>0</v>
      </c>
      <c r="Q6" s="24">
        <f>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f>
        <v>20000</v>
      </c>
      <c r="R6" s="24">
        <f>INDEX(Parametry[],MATCH(Podrobnosti[[#This Row],[TYP PROJEKTU]],Parametry[TYP PROJEKTU],0),MATCH(Podrobnosti[[#Headers],[GENERÁLNÍ PARTNER]],Parametry[#Headers],0))*INDEX('PARAMETRY PROJEKTU'!$B$12:$H$12,1,MATCH(Podrobnosti[[#Headers],[GENERÁLNÍ PARTNER]],Parametry[#Headers],0))*Podrobnosti[[#This Row],[SKUTEČNÁ PRÁCE]]</f>
        <v>13650</v>
      </c>
      <c r="S6" s="24">
        <f>INDEX(Parametry[],MATCH(Podrobnosti[[#This Row],[TYP PROJEKTU]],Parametry[TYP PROJEKTU],0),MATCH(Podrobnosti[[#Headers],[OBCHODNÍ PRÁVNÍK]],Parametry[#Headers],0))*INDEX('PARAMETRY PROJEKTU'!$B$12:$H$12,1,MATCH(Podrobnosti[[#Headers],[OBCHODNÍ PRÁVNÍK]],Parametry[#Headers],0))*Podrobnosti[[#This Row],[SKUTEČNÁ PRÁCE]]</f>
        <v>39000</v>
      </c>
      <c r="T6" s="24">
        <f>INDEX(Parametry[],MATCH(Podrobnosti[[#This Row],[TYP PROJEKTU]],Parametry[TYP PROJEKTU],0),MATCH(Podrobnosti[[#Headers],[PRÁVNÍ PORADCE OBHAJOBY]],Parametry[#Headers],0))*INDEX('PARAMETRY PROJEKTU'!$B$12:$H$12,1,MATCH(Podrobnosti[[#Headers],[PRÁVNÍ PORADCE OBHAJOBY]],Parametry[#Headers],0))*Podrobnosti[[#This Row],[SKUTEČNÁ PRÁCE]]</f>
        <v>0</v>
      </c>
      <c r="U6" s="24">
        <f>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f>
        <v>10725</v>
      </c>
      <c r="V6" s="24">
        <f>INDEX(Parametry[],MATCH(Podrobnosti[[#This Row],[TYP PROJEKTU]],Parametry[TYP PROJEKTU],0),MATCH(Podrobnosti[[#Headers],[BANKROTY – PRÁVNÍK]],Parametry[#Headers],0))*INDEX('PARAMETRY PROJEKTU'!$B$12:$H$12,1,MATCH(Podrobnosti[[#Headers],[BANKROTY – PRÁVNÍK]],Parametry[#Headers],0))*Podrobnosti[[#This Row],[SKUTEČNÁ PRÁCE]]</f>
        <v>0</v>
      </c>
      <c r="W6" s="24">
        <f>INDEX(Parametry[],MATCH(Podrobnosti[[#This Row],[TYP PROJEKTU]],Parametry[TYP PROJEKTU],0),MATCH(Podrobnosti[[#Headers],[ADMINISTRATIVNÍ PRACOVNÍCI]],Parametry[#Headers],0))*INDEX('PARAMETRY PROJEKTU'!$B$12:$H$12,1,MATCH(Podrobnosti[[#Headers],[ADMINISTRATIVNÍ PRACOVNÍCI]],Parametry[#Headers],0))*Podrobnosti[[#This Row],[SKUTEČNÁ PRÁCE]]</f>
        <v>19500</v>
      </c>
      <c r="Y6" s="27"/>
      <c r="Z6" s="27"/>
      <c r="AA6" s="27"/>
      <c r="AB6" s="27"/>
      <c r="AC6" s="27"/>
    </row>
    <row r="7" spans="1:29" x14ac:dyDescent="0.2">
      <c r="B7" t="s">
        <v>41</v>
      </c>
      <c r="C7" t="s">
        <v>17</v>
      </c>
      <c r="D7" s="9">
        <f ca="1">TODAY()+150</f>
        <v>43661</v>
      </c>
      <c r="E7" s="9">
        <f ca="1">TODAY()+150</f>
        <v>43661</v>
      </c>
      <c r="F7" s="9">
        <f ca="1">TODAY()+150</f>
        <v>43661</v>
      </c>
      <c r="G7" s="9">
        <f ca="1">TODAY()+170</f>
        <v>43681</v>
      </c>
      <c r="H7">
        <v>500</v>
      </c>
      <c r="I7">
        <v>500</v>
      </c>
      <c r="J7">
        <f ca="1">DAYS360(Podrobnosti[[#This Row],[PŘEDPOKLÁDANÉ ZAHÁJENÍ]],Podrobnosti[[#This Row],[PŘEDPOKLÁDANÉ DOKONČENÍ]],FALSE)</f>
        <v>0</v>
      </c>
      <c r="K7">
        <f ca="1">DAYS360(Podrobnosti[[#This Row],[SKUTEČNÉ ZAHÁJENÍ]],Podrobnosti[[#This Row],[SKUTEČNÉ DOKONČENÍ]],FALSE)</f>
        <v>19</v>
      </c>
      <c r="L7" s="24">
        <f>INDEX(Parametry[],MATCH(Podrobnosti[[#This Row],[TYP PROJEKTU]],Parametry[TYP PROJEKTU],0),MATCH(Podrobnosti[[#Headers],[GENERÁLNÍ PARTNER]],Parametry[#Headers],0))*INDEX('PARAMETRY PROJEKTU'!$B$12:$H$12,1,MATCH(Podrobnosti[[#Headers],[GENERÁLNÍ PARTNER]],Parametry[#Headers],0))*Podrobnosti[[#This Row],[PŘEDPOKLÁDANÁ PRÁCE]]</f>
        <v>35000</v>
      </c>
      <c r="M7" s="24">
        <f>INDEX(Parametry[],MATCH(Podrobnosti[[#This Row],[TYP PROJEKTU]],Parametry[TYP PROJEKTU],0),MATCH(Podrobnosti[[#Headers],[OBCHODNÍ PRÁVNÍK]],Parametry[#Headers],0))*INDEX('PARAMETRY PROJEKTU'!$B$12:$H$12,1,MATCH(Podrobnosti[[#Headers],[OBCHODNÍ PRÁVNÍK]],Parametry[#Headers],0))*Podrobnosti[[#This Row],[PŘEDPOKLÁDANÁ PRÁCE]]</f>
        <v>0</v>
      </c>
      <c r="N7" s="24">
        <f>INDEX(Parametry[],MATCH(Podrobnosti[[#This Row],[TYP PROJEKTU]],Parametry[TYP PROJEKTU],0),MATCH(Podrobnosti[[#Headers],[PRÁVNÍ PORADCE OBHAJOBY]],Parametry[#Headers],0))*INDEX('PARAMETRY PROJEKTU'!$B$12:$H$12,1,MATCH(Podrobnosti[[#Headers],[PRÁVNÍ PORADCE OBHAJOBY]],Parametry[#Headers],0))*Podrobnosti[[#This Row],[PŘEDPOKLÁDANÁ PRÁCE]]</f>
        <v>75000</v>
      </c>
      <c r="O7" s="24">
        <f>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f>
        <v>0</v>
      </c>
      <c r="P7" s="24">
        <f>INDEX(Parametry[],MATCH(Podrobnosti[[#This Row],[TYP PROJEKTU]],Parametry[TYP PROJEKTU],0),MATCH(Podrobnosti[[#Headers],[BANKROTY – PRÁVNÍK]],Parametry[#Headers],0))*INDEX('PARAMETRY PROJEKTU'!$B$12:$H$12,1,MATCH(Podrobnosti[[#Headers],[BANKROTY – PRÁVNÍK]],Parametry[#Headers],0))*Podrobnosti[[#This Row],[PŘEDPOKLÁDANÁ PRÁCE]]</f>
        <v>0</v>
      </c>
      <c r="Q7" s="24">
        <f>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f>
        <v>18750</v>
      </c>
      <c r="R7" s="24">
        <f>INDEX(Parametry[],MATCH(Podrobnosti[[#This Row],[TYP PROJEKTU]],Parametry[TYP PROJEKTU],0),MATCH(Podrobnosti[[#Headers],[GENERÁLNÍ PARTNER]],Parametry[#Headers],0))*INDEX('PARAMETRY PROJEKTU'!$B$12:$H$12,1,MATCH(Podrobnosti[[#Headers],[GENERÁLNÍ PARTNER]],Parametry[#Headers],0))*Podrobnosti[[#This Row],[SKUTEČNÁ PRÁCE]]</f>
        <v>35000</v>
      </c>
      <c r="S7" s="24">
        <f>INDEX(Parametry[],MATCH(Podrobnosti[[#This Row],[TYP PROJEKTU]],Parametry[TYP PROJEKTU],0),MATCH(Podrobnosti[[#Headers],[OBCHODNÍ PRÁVNÍK]],Parametry[#Headers],0))*INDEX('PARAMETRY PROJEKTU'!$B$12:$H$12,1,MATCH(Podrobnosti[[#Headers],[OBCHODNÍ PRÁVNÍK]],Parametry[#Headers],0))*Podrobnosti[[#This Row],[SKUTEČNÁ PRÁCE]]</f>
        <v>0</v>
      </c>
      <c r="T7" s="24">
        <f>INDEX(Parametry[],MATCH(Podrobnosti[[#This Row],[TYP PROJEKTU]],Parametry[TYP PROJEKTU],0),MATCH(Podrobnosti[[#Headers],[PRÁVNÍ PORADCE OBHAJOBY]],Parametry[#Headers],0))*INDEX('PARAMETRY PROJEKTU'!$B$12:$H$12,1,MATCH(Podrobnosti[[#Headers],[PRÁVNÍ PORADCE OBHAJOBY]],Parametry[#Headers],0))*Podrobnosti[[#This Row],[SKUTEČNÁ PRÁCE]]</f>
        <v>75000</v>
      </c>
      <c r="U7" s="24">
        <f>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f>
        <v>0</v>
      </c>
      <c r="V7" s="24">
        <f>INDEX(Parametry[],MATCH(Podrobnosti[[#This Row],[TYP PROJEKTU]],Parametry[TYP PROJEKTU],0),MATCH(Podrobnosti[[#Headers],[BANKROTY – PRÁVNÍK]],Parametry[#Headers],0))*INDEX('PARAMETRY PROJEKTU'!$B$12:$H$12,1,MATCH(Podrobnosti[[#Headers],[BANKROTY – PRÁVNÍK]],Parametry[#Headers],0))*Podrobnosti[[#This Row],[SKUTEČNÁ PRÁCE]]</f>
        <v>0</v>
      </c>
      <c r="W7" s="24">
        <f>INDEX(Parametry[],MATCH(Podrobnosti[[#This Row],[TYP PROJEKTU]],Parametry[TYP PROJEKTU],0),MATCH(Podrobnosti[[#Headers],[ADMINISTRATIVNÍ PRACOVNÍCI]],Parametry[#Headers],0))*INDEX('PARAMETRY PROJEKTU'!$B$12:$H$12,1,MATCH(Podrobnosti[[#Headers],[ADMINISTRATIVNÍ PRACOVNÍCI]],Parametry[#Headers],0))*Podrobnosti[[#This Row],[SKUTEČNÁ PRÁCE]]</f>
        <v>18750</v>
      </c>
      <c r="Y7" s="27"/>
      <c r="Z7" s="27"/>
      <c r="AA7" s="27"/>
      <c r="AB7" s="27"/>
      <c r="AC7" s="27"/>
    </row>
    <row r="8" spans="1:29" x14ac:dyDescent="0.2">
      <c r="B8" t="s">
        <v>42</v>
      </c>
      <c r="C8" t="s">
        <v>18</v>
      </c>
      <c r="D8" s="9">
        <f ca="1">TODAY()+200</f>
        <v>43711</v>
      </c>
      <c r="E8" s="9">
        <f ca="1">TODAY()+230</f>
        <v>43741</v>
      </c>
      <c r="F8" s="9">
        <f ca="1">TODAY()+230</f>
        <v>43741</v>
      </c>
      <c r="G8" s="9">
        <f ca="1">TODAY()+230</f>
        <v>43741</v>
      </c>
      <c r="H8">
        <v>150</v>
      </c>
      <c r="I8">
        <v>145</v>
      </c>
      <c r="J8">
        <f ca="1">DAYS360(Podrobnosti[[#This Row],[PŘEDPOKLÁDANÉ ZAHÁJENÍ]],Podrobnosti[[#This Row],[PŘEDPOKLÁDANÉ DOKONČENÍ]],FALSE)</f>
        <v>30</v>
      </c>
      <c r="K8">
        <f ca="1">DAYS360(Podrobnosti[[#This Row],[SKUTEČNÉ ZAHÁJENÍ]],Podrobnosti[[#This Row],[SKUTEČNÉ DOKONČENÍ]],FALSE)</f>
        <v>0</v>
      </c>
      <c r="L8" s="24">
        <f>INDEX(Parametry[],MATCH(Podrobnosti[[#This Row],[TYP PROJEKTU]],Parametry[TYP PROJEKTU],0),MATCH(Podrobnosti[[#Headers],[GENERÁLNÍ PARTNER]],Parametry[#Headers],0))*INDEX('PARAMETRY PROJEKTU'!$B$12:$H$12,1,MATCH(Podrobnosti[[#Headers],[GENERÁLNÍ PARTNER]],Parametry[#Headers],0))*Podrobnosti[[#This Row],[PŘEDPOKLÁDANÁ PRÁCE]]</f>
        <v>5250</v>
      </c>
      <c r="M8" s="24">
        <f>INDEX(Parametry[],MATCH(Podrobnosti[[#This Row],[TYP PROJEKTU]],Parametry[TYP PROJEKTU],0),MATCH(Podrobnosti[[#Headers],[OBCHODNÍ PRÁVNÍK]],Parametry[#Headers],0))*INDEX('PARAMETRY PROJEKTU'!$B$12:$H$12,1,MATCH(Podrobnosti[[#Headers],[OBCHODNÍ PRÁVNÍK]],Parametry[#Headers],0))*Podrobnosti[[#This Row],[PŘEDPOKLÁDANÁ PRÁCE]]</f>
        <v>0</v>
      </c>
      <c r="N8" s="24">
        <f>INDEX(Parametry[],MATCH(Podrobnosti[[#This Row],[TYP PROJEKTU]],Parametry[TYP PROJEKTU],0),MATCH(Podrobnosti[[#Headers],[PRÁVNÍ PORADCE OBHAJOBY]],Parametry[#Headers],0))*INDEX('PARAMETRY PROJEKTU'!$B$12:$H$12,1,MATCH(Podrobnosti[[#Headers],[PRÁVNÍ PORADCE OBHAJOBY]],Parametry[#Headers],0))*Podrobnosti[[#This Row],[PŘEDPOKLÁDANÁ PRÁCE]]</f>
        <v>0</v>
      </c>
      <c r="O8" s="24">
        <f>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f>
        <v>24750</v>
      </c>
      <c r="P8" s="24">
        <f>INDEX(Parametry[],MATCH(Podrobnosti[[#This Row],[TYP PROJEKTU]],Parametry[TYP PROJEKTU],0),MATCH(Podrobnosti[[#Headers],[BANKROTY – PRÁVNÍK]],Parametry[#Headers],0))*INDEX('PARAMETRY PROJEKTU'!$B$12:$H$12,1,MATCH(Podrobnosti[[#Headers],[BANKROTY – PRÁVNÍK]],Parametry[#Headers],0))*Podrobnosti[[#This Row],[PŘEDPOKLÁDANÁ PRÁCE]]</f>
        <v>0</v>
      </c>
      <c r="Q8" s="24">
        <f>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f>
        <v>5625</v>
      </c>
      <c r="R8" s="24">
        <f>INDEX(Parametry[],MATCH(Podrobnosti[[#This Row],[TYP PROJEKTU]],Parametry[TYP PROJEKTU],0),MATCH(Podrobnosti[[#Headers],[GENERÁLNÍ PARTNER]],Parametry[#Headers],0))*INDEX('PARAMETRY PROJEKTU'!$B$12:$H$12,1,MATCH(Podrobnosti[[#Headers],[GENERÁLNÍ PARTNER]],Parametry[#Headers],0))*Podrobnosti[[#This Row],[SKUTEČNÁ PRÁCE]]</f>
        <v>5075</v>
      </c>
      <c r="S8" s="24">
        <f>INDEX(Parametry[],MATCH(Podrobnosti[[#This Row],[TYP PROJEKTU]],Parametry[TYP PROJEKTU],0),MATCH(Podrobnosti[[#Headers],[OBCHODNÍ PRÁVNÍK]],Parametry[#Headers],0))*INDEX('PARAMETRY PROJEKTU'!$B$12:$H$12,1,MATCH(Podrobnosti[[#Headers],[OBCHODNÍ PRÁVNÍK]],Parametry[#Headers],0))*Podrobnosti[[#This Row],[SKUTEČNÁ PRÁCE]]</f>
        <v>0</v>
      </c>
      <c r="T8" s="24">
        <f>INDEX(Parametry[],MATCH(Podrobnosti[[#This Row],[TYP PROJEKTU]],Parametry[TYP PROJEKTU],0),MATCH(Podrobnosti[[#Headers],[PRÁVNÍ PORADCE OBHAJOBY]],Parametry[#Headers],0))*INDEX('PARAMETRY PROJEKTU'!$B$12:$H$12,1,MATCH(Podrobnosti[[#Headers],[PRÁVNÍ PORADCE OBHAJOBY]],Parametry[#Headers],0))*Podrobnosti[[#This Row],[SKUTEČNÁ PRÁCE]]</f>
        <v>0</v>
      </c>
      <c r="U8" s="24">
        <f>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f>
        <v>23925</v>
      </c>
      <c r="V8" s="24">
        <f>INDEX(Parametry[],MATCH(Podrobnosti[[#This Row],[TYP PROJEKTU]],Parametry[TYP PROJEKTU],0),MATCH(Podrobnosti[[#Headers],[BANKROTY – PRÁVNÍK]],Parametry[#Headers],0))*INDEX('PARAMETRY PROJEKTU'!$B$12:$H$12,1,MATCH(Podrobnosti[[#Headers],[BANKROTY – PRÁVNÍK]],Parametry[#Headers],0))*Podrobnosti[[#This Row],[SKUTEČNÁ PRÁCE]]</f>
        <v>0</v>
      </c>
      <c r="W8" s="24">
        <f>INDEX(Parametry[],MATCH(Podrobnosti[[#This Row],[TYP PROJEKTU]],Parametry[TYP PROJEKTU],0),MATCH(Podrobnosti[[#Headers],[ADMINISTRATIVNÍ PRACOVNÍCI]],Parametry[#Headers],0))*INDEX('PARAMETRY PROJEKTU'!$B$12:$H$12,1,MATCH(Podrobnosti[[#Headers],[ADMINISTRATIVNÍ PRACOVNÍCI]],Parametry[#Headers],0))*Podrobnosti[[#This Row],[SKUTEČNÁ PRÁCE]]</f>
        <v>5437.5</v>
      </c>
      <c r="Y8" s="27"/>
      <c r="Z8" s="27"/>
      <c r="AA8" s="27"/>
      <c r="AB8" s="27"/>
      <c r="AC8" s="27"/>
    </row>
    <row r="9" spans="1:29" x14ac:dyDescent="0.2">
      <c r="B9" t="s">
        <v>43</v>
      </c>
      <c r="C9" t="s">
        <v>19</v>
      </c>
      <c r="D9" s="9">
        <f ca="1">TODAY()+220</f>
        <v>43731</v>
      </c>
      <c r="E9" s="9">
        <f ca="1">TODAY()+250</f>
        <v>43761</v>
      </c>
      <c r="F9" s="9">
        <f ca="1">TODAY()+230</f>
        <v>43741</v>
      </c>
      <c r="G9" s="9">
        <f ca="1">TODAY()+259</f>
        <v>43770</v>
      </c>
      <c r="H9">
        <v>250</v>
      </c>
      <c r="I9">
        <v>255</v>
      </c>
      <c r="J9">
        <f ca="1">DAYS360(Podrobnosti[[#This Row],[PŘEDPOKLÁDANÉ ZAHÁJENÍ]],Podrobnosti[[#This Row],[PŘEDPOKLÁDANÉ DOKONČENÍ]],FALSE)</f>
        <v>30</v>
      </c>
      <c r="K9">
        <f ca="1">DAYS360(Podrobnosti[[#This Row],[SKUTEČNÉ ZAHÁJENÍ]],Podrobnosti[[#This Row],[SKUTEČNÉ DOKONČENÍ]],FALSE)</f>
        <v>28</v>
      </c>
      <c r="L9" s="24">
        <f>INDEX(Parametry[],MATCH(Podrobnosti[[#This Row],[TYP PROJEKTU]],Parametry[TYP PROJEKTU],0),MATCH(Podrobnosti[[#Headers],[GENERÁLNÍ PARTNER]],Parametry[#Headers],0))*INDEX('PARAMETRY PROJEKTU'!$B$12:$H$12,1,MATCH(Podrobnosti[[#Headers],[GENERÁLNÍ PARTNER]],Parametry[#Headers],0))*Podrobnosti[[#This Row],[PŘEDPOKLÁDANÁ PRÁCE]]</f>
        <v>17500</v>
      </c>
      <c r="M9" s="24">
        <f>INDEX(Parametry[],MATCH(Podrobnosti[[#This Row],[TYP PROJEKTU]],Parametry[TYP PROJEKTU],0),MATCH(Podrobnosti[[#Headers],[OBCHODNÍ PRÁVNÍK]],Parametry[#Headers],0))*INDEX('PARAMETRY PROJEKTU'!$B$12:$H$12,1,MATCH(Podrobnosti[[#Headers],[OBCHODNÍ PRÁVNÍK]],Parametry[#Headers],0))*Podrobnosti[[#This Row],[PŘEDPOKLÁDANÁ PRÁCE]]</f>
        <v>6250</v>
      </c>
      <c r="N9" s="24">
        <f>INDEX(Parametry[],MATCH(Podrobnosti[[#This Row],[TYP PROJEKTU]],Parametry[TYP PROJEKTU],0),MATCH(Podrobnosti[[#Headers],[PRÁVNÍ PORADCE OBHAJOBY]],Parametry[#Headers],0))*INDEX('PARAMETRY PROJEKTU'!$B$12:$H$12,1,MATCH(Podrobnosti[[#Headers],[PRÁVNÍ PORADCE OBHAJOBY]],Parametry[#Headers],0))*Podrobnosti[[#This Row],[PŘEDPOKLÁDANÁ PRÁCE]]</f>
        <v>30000</v>
      </c>
      <c r="O9" s="24">
        <f>INDEX(Parametry[],MATCH(Podrobnosti[[#This Row],[TYP PROJEKTU]],Parametry[TYP PROJEKTU],0),MATCH(Podrobnosti[[#Headers],[DUŠEVNÍ VLASTNICTVÍ – PRÁVNÍK]],Parametry[#Headers],0))*INDEX('PARAMETRY PROJEKTU'!$B$12:$H$12,1,MATCH(Podrobnosti[[#Headers],[DUŠEVNÍ VLASTNICTVÍ – PRÁVNÍK]],Parametry[#Headers],0))*Podrobnosti[[#This Row],[PŘEDPOKLÁDANÁ PRÁCE]]</f>
        <v>0</v>
      </c>
      <c r="P9" s="24">
        <f>INDEX(Parametry[],MATCH(Podrobnosti[[#This Row],[TYP PROJEKTU]],Parametry[TYP PROJEKTU],0),MATCH(Podrobnosti[[#Headers],[BANKROTY – PRÁVNÍK]],Parametry[#Headers],0))*INDEX('PARAMETRY PROJEKTU'!$B$12:$H$12,1,MATCH(Podrobnosti[[#Headers],[BANKROTY – PRÁVNÍK]],Parametry[#Headers],0))*Podrobnosti[[#This Row],[PŘEDPOKLÁDANÁ PRÁCE]]</f>
        <v>0</v>
      </c>
      <c r="Q9" s="24">
        <f>INDEX(Parametry[],MATCH(Podrobnosti[[#This Row],[TYP PROJEKTU]],Parametry[TYP PROJEKTU],0),MATCH(Podrobnosti[[#Headers],[ADMINISTRATIVNÍ PRACOVNÍCI]],Parametry[#Headers],0))*INDEX('PARAMETRY PROJEKTU'!$B$12:$H$12,1,MATCH(Podrobnosti[[#Headers],[ADMINISTRATIVNÍ PRACOVNÍCI]],Parametry[#Headers],0))*Podrobnosti[[#This Row],[PŘEDPOKLÁDANÁ PRÁCE]]</f>
        <v>9375</v>
      </c>
      <c r="R9" s="24">
        <f>INDEX(Parametry[],MATCH(Podrobnosti[[#This Row],[TYP PROJEKTU]],Parametry[TYP PROJEKTU],0),MATCH(Podrobnosti[[#Headers],[GENERÁLNÍ PARTNER]],Parametry[#Headers],0))*INDEX('PARAMETRY PROJEKTU'!$B$12:$H$12,1,MATCH(Podrobnosti[[#Headers],[GENERÁLNÍ PARTNER]],Parametry[#Headers],0))*Podrobnosti[[#This Row],[SKUTEČNÁ PRÁCE]]</f>
        <v>17850</v>
      </c>
      <c r="S9" s="24">
        <f>INDEX(Parametry[],MATCH(Podrobnosti[[#This Row],[TYP PROJEKTU]],Parametry[TYP PROJEKTU],0),MATCH(Podrobnosti[[#Headers],[OBCHODNÍ PRÁVNÍK]],Parametry[#Headers],0))*INDEX('PARAMETRY PROJEKTU'!$B$12:$H$12,1,MATCH(Podrobnosti[[#Headers],[OBCHODNÍ PRÁVNÍK]],Parametry[#Headers],0))*Podrobnosti[[#This Row],[SKUTEČNÁ PRÁCE]]</f>
        <v>6375</v>
      </c>
      <c r="T9" s="24">
        <f>INDEX(Parametry[],MATCH(Podrobnosti[[#This Row],[TYP PROJEKTU]],Parametry[TYP PROJEKTU],0),MATCH(Podrobnosti[[#Headers],[PRÁVNÍ PORADCE OBHAJOBY]],Parametry[#Headers],0))*INDEX('PARAMETRY PROJEKTU'!$B$12:$H$12,1,MATCH(Podrobnosti[[#Headers],[PRÁVNÍ PORADCE OBHAJOBY]],Parametry[#Headers],0))*Podrobnosti[[#This Row],[SKUTEČNÁ PRÁCE]]</f>
        <v>30600</v>
      </c>
      <c r="U9" s="24">
        <f>INDEX(Parametry[],MATCH(Podrobnosti[[#This Row],[TYP PROJEKTU]],Parametry[TYP PROJEKTU],0),MATCH(Podrobnosti[[#Headers],[DUŠEVNÍ VLASTNICTVÍ – PRÁVNÍK]],Parametry[#Headers],0))*INDEX('PARAMETRY PROJEKTU'!$B$12:$H$12,1,MATCH(Podrobnosti[[#Headers],[DUŠEVNÍ VLASTNICTVÍ – PRÁVNÍK]],Parametry[#Headers],0))*Podrobnosti[[#This Row],[SKUTEČNÁ PRÁCE]]</f>
        <v>0</v>
      </c>
      <c r="V9" s="24">
        <f>INDEX(Parametry[],MATCH(Podrobnosti[[#This Row],[TYP PROJEKTU]],Parametry[TYP PROJEKTU],0),MATCH(Podrobnosti[[#Headers],[BANKROTY – PRÁVNÍK]],Parametry[#Headers],0))*INDEX('PARAMETRY PROJEKTU'!$B$12:$H$12,1,MATCH(Podrobnosti[[#Headers],[BANKROTY – PRÁVNÍK]],Parametry[#Headers],0))*Podrobnosti[[#This Row],[SKUTEČNÁ PRÁCE]]</f>
        <v>0</v>
      </c>
      <c r="W9" s="24">
        <f>INDEX(Parametry[],MATCH(Podrobnosti[[#This Row],[TYP PROJEKTU]],Parametry[TYP PROJEKTU],0),MATCH(Podrobnosti[[#Headers],[ADMINISTRATIVNÍ PRACOVNÍCI]],Parametry[#Headers],0))*INDEX('PARAMETRY PROJEKTU'!$B$12:$H$12,1,MATCH(Podrobnosti[[#Headers],[ADMINISTRATIVNÍ PRACOVNÍCI]],Parametry[#Headers],0))*Podrobnosti[[#This Row],[SKUTEČNÁ PRÁCE]]</f>
        <v>9562.5</v>
      </c>
      <c r="Y9" s="27"/>
      <c r="Z9" s="27"/>
      <c r="AA9" s="27"/>
      <c r="AB9" s="27"/>
      <c r="AC9" s="27"/>
    </row>
    <row r="10" spans="1:29" x14ac:dyDescent="0.2">
      <c r="B10" s="1" t="s">
        <v>35</v>
      </c>
      <c r="H10" s="1">
        <f>SUBTOTAL(109,Podrobnosti[PŘEDPOKLÁDANÁ PRÁCE])</f>
        <v>1500</v>
      </c>
      <c r="I10" s="1">
        <f>SUBTOTAL(109,Podrobnosti[SKUTEČNÁ PRÁCE])</f>
        <v>1510</v>
      </c>
      <c r="J10" s="1">
        <f ca="1">SUBTOTAL(109,Podrobnosti[PŘEDPOKLÁDANÁ DOBA TRVÁNÍ])</f>
        <v>190</v>
      </c>
      <c r="K10" s="1">
        <f ca="1">SUBTOTAL(109,Podrobnosti[SKUTEČNÁ DOBA TRVÁNÍ])</f>
        <v>171</v>
      </c>
    </row>
  </sheetData>
  <mergeCells count="1">
    <mergeCell ref="Y2:AC9"/>
  </mergeCells>
  <dataValidations count="1">
    <dataValidation type="list" allowBlank="1" showInputMessage="1" showErrorMessage="1" sqref="C5:C9" xr:uid="{00000000-0002-0000-0100-000000000000}">
      <formula1>TypProjektu</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7.85546875" style="1" bestFit="1" customWidth="1"/>
    <col min="3" max="4" width="12.42578125" style="1" bestFit="1" customWidth="1"/>
    <col min="5" max="5" width="13.7109375" style="1" bestFit="1" customWidth="1"/>
    <col min="6" max="6" width="12.42578125" style="1" bestFit="1" customWidth="1"/>
    <col min="7" max="7" width="9.28515625" style="1" bestFit="1" customWidth="1"/>
    <col min="8" max="8" width="16" style="1" bestFit="1" customWidth="1"/>
    <col min="9" max="10" width="12.42578125" style="1" bestFit="1" customWidth="1"/>
    <col min="11" max="11" width="13.7109375" style="1" bestFit="1" customWidth="1"/>
    <col min="12" max="12" width="12.42578125" style="1" bestFit="1" customWidth="1"/>
    <col min="13" max="13" width="12" style="1" bestFit="1" customWidth="1"/>
    <col min="14" max="14" width="16.5703125" style="1" bestFit="1" customWidth="1"/>
    <col min="15" max="15" width="2.7109375" style="1" customWidth="1"/>
    <col min="16" max="16384" width="9.140625" style="1"/>
  </cols>
  <sheetData>
    <row r="1" spans="1:20" ht="35.450000000000003" customHeight="1" x14ac:dyDescent="0.35">
      <c r="A1" s="12" t="s">
        <v>59</v>
      </c>
      <c r="B1" s="2" t="str">
        <f>'PARAMETRY PROJEKTU'!B1</f>
        <v>Název společnosti</v>
      </c>
      <c r="C1" s="2"/>
      <c r="D1" s="2"/>
      <c r="E1" s="2"/>
      <c r="F1" s="2"/>
      <c r="G1" s="2"/>
      <c r="H1" s="2"/>
      <c r="I1" s="2"/>
      <c r="J1" s="2"/>
      <c r="K1" s="2"/>
      <c r="L1" s="2"/>
      <c r="M1" s="2"/>
      <c r="N1" s="2"/>
    </row>
    <row r="2" spans="1:20" ht="19.5" x14ac:dyDescent="0.25">
      <c r="A2" s="12" t="s">
        <v>6</v>
      </c>
      <c r="B2" s="3" t="str">
        <f>'PARAMETRY PROJEKTU'!B2</f>
        <v>Plánování projektu pro advokátní kanceláře</v>
      </c>
      <c r="C2" s="3"/>
      <c r="D2" s="3"/>
      <c r="E2" s="3"/>
      <c r="F2" s="3"/>
      <c r="G2" s="3"/>
      <c r="H2" s="3"/>
      <c r="I2" s="3"/>
      <c r="J2" s="3"/>
      <c r="K2" s="3"/>
    </row>
    <row r="3" spans="1:20" ht="15" x14ac:dyDescent="0.2">
      <c r="A3" s="12" t="s">
        <v>7</v>
      </c>
      <c r="B3" s="4" t="str">
        <f>'PARAMETRY PROJEKTU'!B3</f>
        <v>Název společnosti – důvěrné</v>
      </c>
      <c r="C3" s="4"/>
      <c r="D3" s="4"/>
      <c r="E3" s="4"/>
      <c r="F3" s="4"/>
      <c r="G3" s="4"/>
      <c r="H3" s="4"/>
      <c r="I3" s="4"/>
      <c r="J3" s="4"/>
      <c r="K3" s="4"/>
    </row>
    <row r="4" spans="1:20" x14ac:dyDescent="0.2">
      <c r="A4" s="12" t="s">
        <v>60</v>
      </c>
      <c r="C4" s="28" t="s">
        <v>63</v>
      </c>
      <c r="D4" s="29"/>
      <c r="E4" s="29"/>
      <c r="F4" s="29"/>
      <c r="G4" s="29"/>
      <c r="H4" s="30"/>
      <c r="I4" s="28" t="s">
        <v>70</v>
      </c>
      <c r="J4" s="29"/>
      <c r="K4" s="29"/>
      <c r="L4" s="29"/>
      <c r="M4" s="29"/>
      <c r="N4" s="30"/>
      <c r="P4" s="31" t="s">
        <v>76</v>
      </c>
      <c r="Q4" s="32"/>
      <c r="R4" s="32"/>
      <c r="S4" s="32"/>
      <c r="T4" s="32"/>
    </row>
    <row r="5" spans="1:20" s="11" customFormat="1" ht="38.25" x14ac:dyDescent="0.2">
      <c r="A5" s="21" t="s">
        <v>61</v>
      </c>
      <c r="B5" s="22" t="s">
        <v>38</v>
      </c>
      <c r="C5" s="10" t="s">
        <v>64</v>
      </c>
      <c r="D5" s="10" t="s">
        <v>65</v>
      </c>
      <c r="E5" s="10" t="s">
        <v>66</v>
      </c>
      <c r="F5" s="10" t="s">
        <v>67</v>
      </c>
      <c r="G5" s="10" t="s">
        <v>68</v>
      </c>
      <c r="H5" s="10" t="s">
        <v>69</v>
      </c>
      <c r="I5" s="10" t="s">
        <v>71</v>
      </c>
      <c r="J5" s="10" t="s">
        <v>77</v>
      </c>
      <c r="K5" s="10" t="s">
        <v>72</v>
      </c>
      <c r="L5" s="10" t="s">
        <v>73</v>
      </c>
      <c r="M5" s="10" t="s">
        <v>74</v>
      </c>
      <c r="N5" s="10" t="s">
        <v>75</v>
      </c>
      <c r="P5" s="32"/>
      <c r="Q5" s="32"/>
      <c r="R5" s="32"/>
      <c r="S5" s="32"/>
      <c r="T5" s="32"/>
    </row>
    <row r="6" spans="1:20" x14ac:dyDescent="0.2">
      <c r="B6" t="s">
        <v>39</v>
      </c>
      <c r="C6" s="25">
        <v>7000</v>
      </c>
      <c r="D6" s="25">
        <v>20000</v>
      </c>
      <c r="E6" s="25">
        <v>0</v>
      </c>
      <c r="F6" s="25">
        <v>0</v>
      </c>
      <c r="G6" s="25">
        <v>0</v>
      </c>
      <c r="H6" s="25">
        <v>12500</v>
      </c>
      <c r="I6" s="25">
        <v>7700</v>
      </c>
      <c r="J6" s="25">
        <v>22000</v>
      </c>
      <c r="K6" s="25">
        <v>0</v>
      </c>
      <c r="L6" s="25">
        <v>0</v>
      </c>
      <c r="M6" s="25">
        <v>0</v>
      </c>
      <c r="N6" s="25">
        <v>13750</v>
      </c>
      <c r="P6" s="32"/>
      <c r="Q6" s="32"/>
      <c r="R6" s="32"/>
      <c r="S6" s="32"/>
      <c r="T6" s="32"/>
    </row>
    <row r="7" spans="1:20" x14ac:dyDescent="0.2">
      <c r="B7" t="s">
        <v>40</v>
      </c>
      <c r="C7" s="25">
        <v>14000</v>
      </c>
      <c r="D7" s="25">
        <v>40000</v>
      </c>
      <c r="E7" s="25">
        <v>0</v>
      </c>
      <c r="F7" s="25">
        <v>11000</v>
      </c>
      <c r="G7" s="25">
        <v>0</v>
      </c>
      <c r="H7" s="25">
        <v>20000</v>
      </c>
      <c r="I7" s="25">
        <v>13650</v>
      </c>
      <c r="J7" s="25">
        <v>39000</v>
      </c>
      <c r="K7" s="25">
        <v>0</v>
      </c>
      <c r="L7" s="25">
        <v>10725</v>
      </c>
      <c r="M7" s="25">
        <v>0</v>
      </c>
      <c r="N7" s="25">
        <v>19500</v>
      </c>
      <c r="P7" s="32"/>
      <c r="Q7" s="32"/>
      <c r="R7" s="32"/>
      <c r="S7" s="32"/>
      <c r="T7" s="32"/>
    </row>
    <row r="8" spans="1:20" x14ac:dyDescent="0.2">
      <c r="B8" t="s">
        <v>41</v>
      </c>
      <c r="C8" s="25">
        <v>35000</v>
      </c>
      <c r="D8" s="25">
        <v>0</v>
      </c>
      <c r="E8" s="25">
        <v>75000</v>
      </c>
      <c r="F8" s="25">
        <v>0</v>
      </c>
      <c r="G8" s="25">
        <v>0</v>
      </c>
      <c r="H8" s="25">
        <v>18750</v>
      </c>
      <c r="I8" s="25">
        <v>35000</v>
      </c>
      <c r="J8" s="25">
        <v>0</v>
      </c>
      <c r="K8" s="25">
        <v>75000</v>
      </c>
      <c r="L8" s="25">
        <v>0</v>
      </c>
      <c r="M8" s="25">
        <v>0</v>
      </c>
      <c r="N8" s="25">
        <v>18750</v>
      </c>
      <c r="P8" s="32"/>
      <c r="Q8" s="32"/>
      <c r="R8" s="32"/>
      <c r="S8" s="32"/>
      <c r="T8" s="32"/>
    </row>
    <row r="9" spans="1:20" x14ac:dyDescent="0.2">
      <c r="B9" t="s">
        <v>42</v>
      </c>
      <c r="C9" s="25">
        <v>5250</v>
      </c>
      <c r="D9" s="25">
        <v>0</v>
      </c>
      <c r="E9" s="25">
        <v>0</v>
      </c>
      <c r="F9" s="25">
        <v>24750</v>
      </c>
      <c r="G9" s="25">
        <v>0</v>
      </c>
      <c r="H9" s="25">
        <v>5625</v>
      </c>
      <c r="I9" s="25">
        <v>5075</v>
      </c>
      <c r="J9" s="25">
        <v>0</v>
      </c>
      <c r="K9" s="25">
        <v>0</v>
      </c>
      <c r="L9" s="25">
        <v>23925</v>
      </c>
      <c r="M9" s="25">
        <v>0</v>
      </c>
      <c r="N9" s="25">
        <v>5437.5</v>
      </c>
      <c r="P9" s="32"/>
      <c r="Q9" s="32"/>
      <c r="R9" s="32"/>
      <c r="S9" s="32"/>
      <c r="T9" s="32"/>
    </row>
    <row r="10" spans="1:20" x14ac:dyDescent="0.2">
      <c r="B10" t="s">
        <v>43</v>
      </c>
      <c r="C10" s="25">
        <v>17500</v>
      </c>
      <c r="D10" s="25">
        <v>6250</v>
      </c>
      <c r="E10" s="25">
        <v>30000</v>
      </c>
      <c r="F10" s="25">
        <v>0</v>
      </c>
      <c r="G10" s="25">
        <v>0</v>
      </c>
      <c r="H10" s="25">
        <v>9375</v>
      </c>
      <c r="I10" s="25">
        <v>17850</v>
      </c>
      <c r="J10" s="25">
        <v>6375</v>
      </c>
      <c r="K10" s="25">
        <v>30600</v>
      </c>
      <c r="L10" s="25">
        <v>0</v>
      </c>
      <c r="M10" s="25">
        <v>0</v>
      </c>
      <c r="N10" s="25">
        <v>9562.5</v>
      </c>
      <c r="P10" s="32"/>
      <c r="Q10" s="32"/>
      <c r="R10" s="32"/>
      <c r="S10" s="32"/>
      <c r="T10" s="32"/>
    </row>
    <row r="11" spans="1:20" x14ac:dyDescent="0.2">
      <c r="B11" t="s">
        <v>62</v>
      </c>
      <c r="C11" s="25">
        <v>78750</v>
      </c>
      <c r="D11" s="25">
        <v>66250</v>
      </c>
      <c r="E11" s="25">
        <v>105000</v>
      </c>
      <c r="F11" s="25">
        <v>35750</v>
      </c>
      <c r="G11" s="25">
        <v>0</v>
      </c>
      <c r="H11" s="25">
        <v>66250</v>
      </c>
      <c r="I11" s="25">
        <v>79275</v>
      </c>
      <c r="J11" s="25">
        <v>67375</v>
      </c>
      <c r="K11" s="25">
        <v>105600</v>
      </c>
      <c r="L11" s="25">
        <v>34650</v>
      </c>
      <c r="M11" s="25">
        <v>0</v>
      </c>
      <c r="N11" s="25">
        <v>67000</v>
      </c>
      <c r="P11" s="32"/>
      <c r="Q11" s="32"/>
      <c r="R11" s="32"/>
      <c r="S11" s="32"/>
      <c r="T11" s="32"/>
    </row>
    <row r="12" spans="1:20" x14ac:dyDescent="0.2">
      <c r="B12"/>
      <c r="C12"/>
      <c r="D12"/>
      <c r="E12"/>
      <c r="F12"/>
      <c r="G12"/>
      <c r="H12"/>
      <c r="I12"/>
      <c r="J12"/>
      <c r="K12"/>
      <c r="L12"/>
      <c r="M12"/>
      <c r="N12"/>
      <c r="P12" s="32"/>
      <c r="Q12" s="32"/>
      <c r="R12" s="32"/>
      <c r="S12" s="32"/>
      <c r="T12" s="32"/>
    </row>
    <row r="13" spans="1:20" x14ac:dyDescent="0.2">
      <c r="B13"/>
      <c r="C13"/>
      <c r="D13"/>
      <c r="E13"/>
      <c r="F13"/>
      <c r="G13"/>
      <c r="H13"/>
      <c r="I13"/>
      <c r="J13"/>
      <c r="K13"/>
      <c r="L13"/>
      <c r="M13"/>
      <c r="N13"/>
      <c r="P13" s="32"/>
      <c r="Q13" s="32"/>
      <c r="R13" s="32"/>
      <c r="S13" s="32"/>
      <c r="T13" s="32"/>
    </row>
    <row r="14" spans="1:20" x14ac:dyDescent="0.2">
      <c r="B14"/>
      <c r="C14"/>
      <c r="D14"/>
      <c r="E14"/>
      <c r="F14"/>
      <c r="G14"/>
      <c r="H14"/>
      <c r="I14"/>
      <c r="J14"/>
      <c r="K14"/>
      <c r="L14"/>
      <c r="M14"/>
      <c r="N14"/>
      <c r="P14" s="32"/>
      <c r="Q14" s="32"/>
      <c r="R14" s="32"/>
      <c r="S14" s="32"/>
      <c r="T14" s="32"/>
    </row>
    <row r="15" spans="1:20" x14ac:dyDescent="0.2">
      <c r="B15"/>
      <c r="C15"/>
      <c r="D15"/>
      <c r="E15"/>
      <c r="F15"/>
      <c r="G15"/>
      <c r="H15"/>
      <c r="I15"/>
      <c r="J15"/>
      <c r="K15"/>
      <c r="L15"/>
      <c r="M15"/>
      <c r="N15"/>
      <c r="P15" s="32"/>
      <c r="Q15" s="32"/>
      <c r="R15" s="32"/>
      <c r="S15" s="32"/>
      <c r="T15" s="32"/>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4"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Začátek</vt:lpstr>
      <vt:lpstr>PARAMETRY PROJEKTU</vt:lpstr>
      <vt:lpstr>PODROBNOSTI PROJEKTU</vt:lpstr>
      <vt:lpstr>CELKOVÉ ČÁSTKY PROJEKTU</vt:lpstr>
      <vt:lpstr>'CELKOVÉ ČÁSTKY PROJEKTU'!Názvy_tisku</vt:lpstr>
      <vt:lpstr>'PODROBNOSTI PROJEKTU'!Názvy_tisku</vt:lpstr>
      <vt:lpstr>TypProjektu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2019-02-15T08:19:49Z</dcterms:modified>
</cp:coreProperties>
</file>

<file path=docProps/custom.xml><?xml version="1.0" encoding="utf-8"?>
<Properties xmlns="http://schemas.openxmlformats.org/officeDocument/2006/custom-properties" xmlns:vt="http://schemas.openxmlformats.org/officeDocument/2006/docPropsVTypes"/>
</file>