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7"/>
  <workbookPr/>
  <mc:AlternateContent xmlns:mc="http://schemas.openxmlformats.org/markup-compatibility/2006">
    <mc:Choice Requires="x15">
      <x15ac:absPath xmlns:x15ac="http://schemas.microsoft.com/office/spreadsheetml/2010/11/ac" url="C:\Users\admin\Desktop\bg-BG\"/>
    </mc:Choice>
  </mc:AlternateContent>
  <xr:revisionPtr revIDLastSave="0" documentId="13_ncr:1_{254CE155-0137-41C9-99B1-F9D144314C4E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Семеен календар" sheetId="4" r:id="rId1"/>
  </sheets>
  <definedNames>
    <definedName name="CalendarYear">'Семеен календар'!$AE$3</definedName>
    <definedName name="ImportantDates">'Семеен календар'!$D$6:$G$20</definedName>
    <definedName name="АвгНед1">DATE(CalendarYear,8,1)-WEEKDAY(DATE(CalendarYear,8,1))+1</definedName>
    <definedName name="АпрНед1">DATE(CalendarYear,4,1)-WEEKDAY(DATE(CalendarYear,4,1))+1</definedName>
    <definedName name="ДекНед1">DATE(CalendarYear,12,1)-WEEKDAY(DATE(CalendarYear,12,1))+1</definedName>
    <definedName name="МайНед1">DATE(CalendarYear,5,1)-WEEKDAY(DATE(CalendarYear,5,1))+1</definedName>
    <definedName name="МарНед1">DATE(CalendarYear,3,1)-WEEKDAY(DATE(CalendarYear,3,1))+1</definedName>
    <definedName name="НоеНед1">DATE(CalendarYear,11,1)-WEEKDAY(DATE(CalendarYear,11,1))+1</definedName>
    <definedName name="_xlnm.Print_Area" localSheetId="0">'Семеен календар'!$B$1:$AK$50</definedName>
    <definedName name="ОктНед1">DATE(CalendarYear,10,1)-WEEKDAY(DATE(CalendarYear,10,1))+1</definedName>
    <definedName name="СепНед1">DATE(CalendarYear,9,1)-WEEKDAY(DATE(CalendarYear,9,1))+1</definedName>
    <definedName name="ФевНед1">DATE(CalendarYear,2,1)-WEEKDAY(DATE(CalendarYear,2,1))+1</definedName>
    <definedName name="ЮлиНед1">DATE(CalendarYear,7,1)-WEEKDAY(DATE(CalendarYear,7,1))+1</definedName>
    <definedName name="ЮниНед1">DATE(CalendarYear,6,1)-WEEKDAY(DATE(CalendarYear,6,1))+1</definedName>
    <definedName name="ЯнуНед1">DATE(CalendarYear,1,1)-WEEKDAY(DATE(CalendarYear,1,1))+1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3" i="4" l="1"/>
  <c r="D7" i="4" l="1"/>
  <c r="D6" i="4"/>
  <c r="AJ49" i="4" l="1"/>
  <c r="AI49" i="4"/>
  <c r="AH49" i="4"/>
  <c r="AG49" i="4"/>
  <c r="AF49" i="4"/>
  <c r="AE49" i="4"/>
  <c r="AD49" i="4"/>
  <c r="AJ48" i="4"/>
  <c r="AI48" i="4"/>
  <c r="AH48" i="4"/>
  <c r="AG48" i="4"/>
  <c r="AF48" i="4"/>
  <c r="AE48" i="4"/>
  <c r="AD48" i="4"/>
  <c r="AJ47" i="4"/>
  <c r="AI47" i="4"/>
  <c r="AH47" i="4"/>
  <c r="AG47" i="4"/>
  <c r="AF47" i="4"/>
  <c r="AE47" i="4"/>
  <c r="AD47" i="4"/>
  <c r="AJ46" i="4"/>
  <c r="AI46" i="4"/>
  <c r="AH46" i="4"/>
  <c r="AG46" i="4"/>
  <c r="AF46" i="4"/>
  <c r="AE46" i="4"/>
  <c r="AD46" i="4"/>
  <c r="AJ45" i="4"/>
  <c r="AI45" i="4"/>
  <c r="AH45" i="4"/>
  <c r="AG45" i="4"/>
  <c r="AF45" i="4"/>
  <c r="AE45" i="4"/>
  <c r="AD45" i="4"/>
  <c r="AJ44" i="4"/>
  <c r="AI44" i="4"/>
  <c r="AH44" i="4"/>
  <c r="AG44" i="4"/>
  <c r="AF44" i="4"/>
  <c r="AE44" i="4"/>
  <c r="AD44" i="4"/>
  <c r="AA49" i="4"/>
  <c r="Z49" i="4"/>
  <c r="Y49" i="4"/>
  <c r="X49" i="4"/>
  <c r="W49" i="4"/>
  <c r="V49" i="4"/>
  <c r="U49" i="4"/>
  <c r="AA48" i="4"/>
  <c r="Z48" i="4"/>
  <c r="Y48" i="4"/>
  <c r="X48" i="4"/>
  <c r="W48" i="4"/>
  <c r="V48" i="4"/>
  <c r="U48" i="4"/>
  <c r="AA47" i="4"/>
  <c r="Z47" i="4"/>
  <c r="Y47" i="4"/>
  <c r="X47" i="4"/>
  <c r="W47" i="4"/>
  <c r="V47" i="4"/>
  <c r="U47" i="4"/>
  <c r="AA46" i="4"/>
  <c r="Z46" i="4"/>
  <c r="Y46" i="4"/>
  <c r="X46" i="4"/>
  <c r="W46" i="4"/>
  <c r="V46" i="4"/>
  <c r="U46" i="4"/>
  <c r="AA45" i="4"/>
  <c r="Z45" i="4"/>
  <c r="Y45" i="4"/>
  <c r="X45" i="4"/>
  <c r="W45" i="4"/>
  <c r="V45" i="4"/>
  <c r="U45" i="4"/>
  <c r="AA44" i="4"/>
  <c r="Z44" i="4"/>
  <c r="Y44" i="4"/>
  <c r="X44" i="4"/>
  <c r="W44" i="4"/>
  <c r="V44" i="4"/>
  <c r="U44" i="4"/>
  <c r="R49" i="4"/>
  <c r="Q49" i="4"/>
  <c r="P49" i="4"/>
  <c r="O49" i="4"/>
  <c r="N49" i="4"/>
  <c r="M49" i="4"/>
  <c r="L49" i="4"/>
  <c r="R48" i="4"/>
  <c r="Q48" i="4"/>
  <c r="P48" i="4"/>
  <c r="O48" i="4"/>
  <c r="N48" i="4"/>
  <c r="M48" i="4"/>
  <c r="L48" i="4"/>
  <c r="R47" i="4"/>
  <c r="Q47" i="4"/>
  <c r="P47" i="4"/>
  <c r="O47" i="4"/>
  <c r="N47" i="4"/>
  <c r="M47" i="4"/>
  <c r="L47" i="4"/>
  <c r="R46" i="4"/>
  <c r="Q46" i="4"/>
  <c r="P46" i="4"/>
  <c r="O46" i="4"/>
  <c r="N46" i="4"/>
  <c r="M46" i="4"/>
  <c r="L46" i="4"/>
  <c r="R45" i="4"/>
  <c r="Q45" i="4"/>
  <c r="P45" i="4"/>
  <c r="O45" i="4"/>
  <c r="N45" i="4"/>
  <c r="M45" i="4"/>
  <c r="L45" i="4"/>
  <c r="R44" i="4"/>
  <c r="Q44" i="4"/>
  <c r="P44" i="4"/>
  <c r="O44" i="4"/>
  <c r="N44" i="4"/>
  <c r="M44" i="4"/>
  <c r="L44" i="4"/>
  <c r="I49" i="4"/>
  <c r="H49" i="4"/>
  <c r="G49" i="4"/>
  <c r="F49" i="4"/>
  <c r="E49" i="4"/>
  <c r="D49" i="4"/>
  <c r="C49" i="4"/>
  <c r="I48" i="4"/>
  <c r="H48" i="4"/>
  <c r="G48" i="4"/>
  <c r="F48" i="4"/>
  <c r="E48" i="4"/>
  <c r="D48" i="4"/>
  <c r="C48" i="4"/>
  <c r="I47" i="4"/>
  <c r="H47" i="4"/>
  <c r="G47" i="4"/>
  <c r="F47" i="4"/>
  <c r="E47" i="4"/>
  <c r="D47" i="4"/>
  <c r="C47" i="4"/>
  <c r="I46" i="4"/>
  <c r="H46" i="4"/>
  <c r="G46" i="4"/>
  <c r="F46" i="4"/>
  <c r="E46" i="4"/>
  <c r="D46" i="4"/>
  <c r="C46" i="4"/>
  <c r="I45" i="4"/>
  <c r="H45" i="4"/>
  <c r="G45" i="4"/>
  <c r="F45" i="4"/>
  <c r="E45" i="4"/>
  <c r="D45" i="4"/>
  <c r="C45" i="4"/>
  <c r="I44" i="4"/>
  <c r="H44" i="4"/>
  <c r="G44" i="4"/>
  <c r="F44" i="4"/>
  <c r="E44" i="4"/>
  <c r="D44" i="4"/>
  <c r="C44" i="4"/>
  <c r="AJ40" i="4"/>
  <c r="AI40" i="4"/>
  <c r="AH40" i="4"/>
  <c r="AG40" i="4"/>
  <c r="AF40" i="4"/>
  <c r="AE40" i="4"/>
  <c r="AD40" i="4"/>
  <c r="AJ39" i="4"/>
  <c r="AI39" i="4"/>
  <c r="AH39" i="4"/>
  <c r="AG39" i="4"/>
  <c r="AF39" i="4"/>
  <c r="AE39" i="4"/>
  <c r="AD39" i="4"/>
  <c r="AJ38" i="4"/>
  <c r="AI38" i="4"/>
  <c r="AH38" i="4"/>
  <c r="AG38" i="4"/>
  <c r="AF38" i="4"/>
  <c r="AE38" i="4"/>
  <c r="AD38" i="4"/>
  <c r="AJ37" i="4"/>
  <c r="AI37" i="4"/>
  <c r="AH37" i="4"/>
  <c r="AG37" i="4"/>
  <c r="AF37" i="4"/>
  <c r="AE37" i="4"/>
  <c r="AD37" i="4"/>
  <c r="AJ36" i="4"/>
  <c r="AI36" i="4"/>
  <c r="AH36" i="4"/>
  <c r="AG36" i="4"/>
  <c r="AF36" i="4"/>
  <c r="AE36" i="4"/>
  <c r="AD36" i="4"/>
  <c r="AJ35" i="4"/>
  <c r="AI35" i="4"/>
  <c r="AH35" i="4"/>
  <c r="AG35" i="4"/>
  <c r="AF35" i="4"/>
  <c r="AE35" i="4"/>
  <c r="AD35" i="4"/>
  <c r="AA40" i="4"/>
  <c r="Z40" i="4"/>
  <c r="Y40" i="4"/>
  <c r="X40" i="4"/>
  <c r="W40" i="4"/>
  <c r="V40" i="4"/>
  <c r="U40" i="4"/>
  <c r="AA39" i="4"/>
  <c r="Z39" i="4"/>
  <c r="Y39" i="4"/>
  <c r="X39" i="4"/>
  <c r="W39" i="4"/>
  <c r="V39" i="4"/>
  <c r="U39" i="4"/>
  <c r="AA38" i="4"/>
  <c r="Z38" i="4"/>
  <c r="Y38" i="4"/>
  <c r="X38" i="4"/>
  <c r="W38" i="4"/>
  <c r="V38" i="4"/>
  <c r="U38" i="4"/>
  <c r="AA37" i="4"/>
  <c r="Z37" i="4"/>
  <c r="Y37" i="4"/>
  <c r="X37" i="4"/>
  <c r="W37" i="4"/>
  <c r="V37" i="4"/>
  <c r="U37" i="4"/>
  <c r="AA36" i="4"/>
  <c r="Z36" i="4"/>
  <c r="Y36" i="4"/>
  <c r="X36" i="4"/>
  <c r="W36" i="4"/>
  <c r="V36" i="4"/>
  <c r="U36" i="4"/>
  <c r="AA35" i="4"/>
  <c r="Z35" i="4"/>
  <c r="Y35" i="4"/>
  <c r="X35" i="4"/>
  <c r="W35" i="4"/>
  <c r="V35" i="4"/>
  <c r="U35" i="4"/>
  <c r="R40" i="4"/>
  <c r="Q40" i="4"/>
  <c r="P40" i="4"/>
  <c r="O40" i="4"/>
  <c r="N40" i="4"/>
  <c r="M40" i="4"/>
  <c r="L40" i="4"/>
  <c r="R39" i="4"/>
  <c r="Q39" i="4"/>
  <c r="P39" i="4"/>
  <c r="O39" i="4"/>
  <c r="N39" i="4"/>
  <c r="M39" i="4"/>
  <c r="L39" i="4"/>
  <c r="R38" i="4"/>
  <c r="Q38" i="4"/>
  <c r="P38" i="4"/>
  <c r="O38" i="4"/>
  <c r="N38" i="4"/>
  <c r="M38" i="4"/>
  <c r="L38" i="4"/>
  <c r="R37" i="4"/>
  <c r="Q37" i="4"/>
  <c r="P37" i="4"/>
  <c r="O37" i="4"/>
  <c r="N37" i="4"/>
  <c r="M37" i="4"/>
  <c r="L37" i="4"/>
  <c r="R36" i="4"/>
  <c r="Q36" i="4"/>
  <c r="P36" i="4"/>
  <c r="O36" i="4"/>
  <c r="N36" i="4"/>
  <c r="M36" i="4"/>
  <c r="L36" i="4"/>
  <c r="R35" i="4"/>
  <c r="Q35" i="4"/>
  <c r="P35" i="4"/>
  <c r="O35" i="4"/>
  <c r="N35" i="4"/>
  <c r="M35" i="4"/>
  <c r="L35" i="4"/>
  <c r="I40" i="4"/>
  <c r="H40" i="4"/>
  <c r="G40" i="4"/>
  <c r="F40" i="4"/>
  <c r="E40" i="4"/>
  <c r="D40" i="4"/>
  <c r="C40" i="4"/>
  <c r="I39" i="4"/>
  <c r="H39" i="4"/>
  <c r="G39" i="4"/>
  <c r="F39" i="4"/>
  <c r="E39" i="4"/>
  <c r="D39" i="4"/>
  <c r="C39" i="4"/>
  <c r="I38" i="4"/>
  <c r="H38" i="4"/>
  <c r="G38" i="4"/>
  <c r="F38" i="4"/>
  <c r="E38" i="4"/>
  <c r="D38" i="4"/>
  <c r="C38" i="4"/>
  <c r="I37" i="4"/>
  <c r="H37" i="4"/>
  <c r="G37" i="4"/>
  <c r="F37" i="4"/>
  <c r="E37" i="4"/>
  <c r="D37" i="4"/>
  <c r="C37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C35" i="4"/>
  <c r="AJ31" i="4"/>
  <c r="AI31" i="4"/>
  <c r="AH31" i="4"/>
  <c r="AG31" i="4"/>
  <c r="AF31" i="4"/>
  <c r="AE31" i="4"/>
  <c r="AD31" i="4"/>
  <c r="AJ30" i="4"/>
  <c r="AI30" i="4"/>
  <c r="AH30" i="4"/>
  <c r="AG30" i="4"/>
  <c r="AF30" i="4"/>
  <c r="AE30" i="4"/>
  <c r="AD30" i="4"/>
  <c r="AJ29" i="4"/>
  <c r="AI29" i="4"/>
  <c r="AH29" i="4"/>
  <c r="AG29" i="4"/>
  <c r="AF29" i="4"/>
  <c r="AE29" i="4"/>
  <c r="AD29" i="4"/>
  <c r="AJ28" i="4"/>
  <c r="AI28" i="4"/>
  <c r="AH28" i="4"/>
  <c r="AG28" i="4"/>
  <c r="AF28" i="4"/>
  <c r="AE28" i="4"/>
  <c r="AD28" i="4"/>
  <c r="AJ27" i="4"/>
  <c r="AI27" i="4"/>
  <c r="AH27" i="4"/>
  <c r="AG27" i="4"/>
  <c r="AF27" i="4"/>
  <c r="AE27" i="4"/>
  <c r="AD27" i="4"/>
  <c r="AJ26" i="4"/>
  <c r="AI26" i="4"/>
  <c r="AH26" i="4"/>
  <c r="AG26" i="4"/>
  <c r="AF26" i="4"/>
  <c r="AE26" i="4"/>
  <c r="AD26" i="4"/>
  <c r="AA31" i="4"/>
  <c r="Z31" i="4"/>
  <c r="Y31" i="4"/>
  <c r="X31" i="4"/>
  <c r="W31" i="4"/>
  <c r="V31" i="4"/>
  <c r="U31" i="4"/>
  <c r="AA30" i="4"/>
  <c r="Z30" i="4"/>
  <c r="Y30" i="4"/>
  <c r="X30" i="4"/>
  <c r="W30" i="4"/>
  <c r="V30" i="4"/>
  <c r="U30" i="4"/>
  <c r="AA29" i="4"/>
  <c r="Z29" i="4"/>
  <c r="Y29" i="4"/>
  <c r="X29" i="4"/>
  <c r="W29" i="4"/>
  <c r="V29" i="4"/>
  <c r="U29" i="4"/>
  <c r="AA28" i="4"/>
  <c r="Z28" i="4"/>
  <c r="Y28" i="4"/>
  <c r="X28" i="4"/>
  <c r="W28" i="4"/>
  <c r="V28" i="4"/>
  <c r="U28" i="4"/>
  <c r="AA27" i="4"/>
  <c r="Z27" i="4"/>
  <c r="Y27" i="4"/>
  <c r="X27" i="4"/>
  <c r="W27" i="4"/>
  <c r="V27" i="4"/>
  <c r="U27" i="4"/>
  <c r="AA26" i="4"/>
  <c r="Z26" i="4"/>
  <c r="Y26" i="4"/>
  <c r="X26" i="4"/>
  <c r="W26" i="4"/>
  <c r="V26" i="4"/>
  <c r="U26" i="4"/>
  <c r="R31" i="4"/>
  <c r="Q31" i="4"/>
  <c r="P31" i="4"/>
  <c r="O31" i="4"/>
  <c r="N31" i="4"/>
  <c r="M31" i="4"/>
  <c r="L31" i="4"/>
  <c r="R30" i="4"/>
  <c r="Q30" i="4"/>
  <c r="P30" i="4"/>
  <c r="O30" i="4"/>
  <c r="N30" i="4"/>
  <c r="M30" i="4"/>
  <c r="L30" i="4"/>
  <c r="R29" i="4"/>
  <c r="Q29" i="4"/>
  <c r="P29" i="4"/>
  <c r="O29" i="4"/>
  <c r="N29" i="4"/>
  <c r="M29" i="4"/>
  <c r="L29" i="4"/>
  <c r="R28" i="4"/>
  <c r="Q28" i="4"/>
  <c r="P28" i="4"/>
  <c r="O28" i="4"/>
  <c r="N28" i="4"/>
  <c r="M28" i="4"/>
  <c r="L28" i="4"/>
  <c r="R27" i="4"/>
  <c r="Q27" i="4"/>
  <c r="P27" i="4"/>
  <c r="O27" i="4"/>
  <c r="N27" i="4"/>
  <c r="M27" i="4"/>
  <c r="L27" i="4"/>
  <c r="R26" i="4"/>
  <c r="Q26" i="4"/>
  <c r="P26" i="4"/>
  <c r="O26" i="4"/>
  <c r="N26" i="4"/>
  <c r="M26" i="4"/>
  <c r="L26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AD42" i="4"/>
  <c r="U42" i="4"/>
  <c r="L42" i="4"/>
  <c r="C42" i="4"/>
  <c r="AD33" i="4"/>
  <c r="U33" i="4"/>
  <c r="L33" i="4"/>
  <c r="C33" i="4"/>
  <c r="AD24" i="4"/>
  <c r="U24" i="4"/>
  <c r="L24" i="4"/>
  <c r="C24" i="4"/>
</calcChain>
</file>

<file path=xl/sharedStrings.xml><?xml version="1.0" encoding="utf-8"?>
<sst xmlns="http://schemas.openxmlformats.org/spreadsheetml/2006/main" count="89" uniqueCount="10">
  <si>
    <t>П</t>
  </si>
  <si>
    <t>С</t>
  </si>
  <si>
    <t>Календар на сем. Костови</t>
  </si>
  <si>
    <t>Важни дати</t>
  </si>
  <si>
    <t>В</t>
  </si>
  <si>
    <t>Ч</t>
  </si>
  <si>
    <t>Нова година</t>
  </si>
  <si>
    <t>Рожден ден на Пламен</t>
  </si>
  <si>
    <t>Н</t>
  </si>
  <si>
    <t>Бележки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</si>
</sst>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лв.&quot;_-;\-* #,##0\ &quot;лв.&quot;_-;_-* &quot;-&quot;\ &quot;лв.&quot;_-;_-@_-"/>
    <numFmt numFmtId="44" formatCode="_-* #,##0.00\ &quot;лв.&quot;_-;\-* #,##0.00\ &quot;лв.&quot;_-;_-* &quot;-&quot;??\ &quot;лв.&quot;_-;_-@_-"/>
    <numFmt numFmtId="164" formatCode="_(* #,##0_);_(* \(#,##0\);_(* &quot;-&quot;_);_(@_)"/>
    <numFmt numFmtId="165" formatCode="_(* #,##0.00_);_(* \(#,##0.00\);_(* &quot;-&quot;??_);_(@_)"/>
    <numFmt numFmtId="166" formatCode="mmmm"/>
    <numFmt numFmtId="167" formatCode="d"/>
  </numFmts>
  <fonts count="3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mbria"/>
      <family val="4"/>
      <scheme val="major"/>
    </font>
    <font>
      <sz val="11"/>
      <color theme="1"/>
      <name val="Cambria"/>
      <family val="4"/>
      <scheme val="major"/>
    </font>
    <font>
      <sz val="11"/>
      <color rgb="FFFFFF00"/>
      <name val="Cambria"/>
      <family val="4"/>
      <scheme val="major"/>
    </font>
    <font>
      <sz val="10"/>
      <color rgb="FFFFFF00"/>
      <name val="Cambria"/>
      <family val="4"/>
      <scheme val="major"/>
    </font>
    <font>
      <sz val="10"/>
      <color theme="4"/>
      <name val="Cambria"/>
      <family val="4"/>
      <scheme val="major"/>
    </font>
    <font>
      <b/>
      <sz val="12"/>
      <color theme="1"/>
      <name val="Cambria"/>
      <family val="2"/>
      <scheme val="major"/>
    </font>
    <font>
      <sz val="9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mbria"/>
      <family val="4"/>
      <scheme val="major"/>
    </font>
    <font>
      <b/>
      <sz val="11.5"/>
      <color theme="1"/>
      <name val="Cambria"/>
      <family val="2"/>
      <scheme val="major"/>
    </font>
    <font>
      <b/>
      <sz val="11.5"/>
      <color theme="0" tint="-0.249977111117893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0"/>
      <name val="Cambria"/>
      <family val="1"/>
      <scheme val="major"/>
    </font>
    <font>
      <sz val="10"/>
      <color theme="0"/>
      <name val="Calibri"/>
      <family val="2"/>
      <scheme val="minor"/>
    </font>
    <font>
      <sz val="11"/>
      <color theme="0"/>
      <name val="Cambria"/>
      <family val="4"/>
      <scheme val="major"/>
    </font>
    <font>
      <sz val="12"/>
      <color theme="0"/>
      <name val="Cambria"/>
      <family val="1"/>
      <scheme val="major"/>
    </font>
    <font>
      <sz val="12"/>
      <color theme="0"/>
      <name val="Cambria"/>
      <family val="4"/>
      <scheme val="maj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0" fillId="0" borderId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7" applyNumberFormat="0" applyAlignment="0" applyProtection="0"/>
    <xf numFmtId="0" fontId="30" fillId="7" borderId="8" applyNumberFormat="0" applyAlignment="0" applyProtection="0"/>
    <xf numFmtId="0" fontId="31" fillId="7" borderId="7" applyNumberFormat="0" applyAlignment="0" applyProtection="0"/>
    <xf numFmtId="0" fontId="32" fillId="0" borderId="9" applyNumberFormat="0" applyFill="0" applyAlignment="0" applyProtection="0"/>
    <xf numFmtId="0" fontId="33" fillId="8" borderId="10" applyNumberFormat="0" applyAlignment="0" applyProtection="0"/>
    <xf numFmtId="0" fontId="34" fillId="0" borderId="0" applyNumberFormat="0" applyFill="0" applyBorder="0" applyAlignment="0" applyProtection="0"/>
    <xf numFmtId="0" fontId="21" fillId="9" borderId="1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47">
    <xf numFmtId="0" fontId="0" fillId="0" borderId="0" xfId="0"/>
    <xf numFmtId="0" fontId="0" fillId="0" borderId="0" xfId="0" applyFont="1"/>
    <xf numFmtId="0" fontId="0" fillId="0" borderId="0" xfId="0" applyFont="1" applyFill="1" applyBorder="1"/>
    <xf numFmtId="0" fontId="2" fillId="2" borderId="0" xfId="0" applyFont="1" applyFill="1" applyAlignment="1">
      <alignment horizontal="left" indent="1"/>
    </xf>
    <xf numFmtId="0" fontId="9" fillId="2" borderId="0" xfId="0" applyFont="1" applyFill="1"/>
    <xf numFmtId="0" fontId="10" fillId="2" borderId="0" xfId="0" applyFont="1" applyFill="1"/>
    <xf numFmtId="0" fontId="6" fillId="2" borderId="0" xfId="0" applyFont="1" applyFill="1"/>
    <xf numFmtId="0" fontId="3" fillId="0" borderId="0" xfId="0" applyFont="1" applyFill="1"/>
    <xf numFmtId="0" fontId="6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0" fillId="0" borderId="0" xfId="0" applyFill="1"/>
    <xf numFmtId="0" fontId="13" fillId="2" borderId="0" xfId="0" applyFont="1" applyFill="1"/>
    <xf numFmtId="0" fontId="6" fillId="2" borderId="0" xfId="0" applyFont="1" applyFill="1" applyAlignment="1"/>
    <xf numFmtId="0" fontId="15" fillId="2" borderId="0" xfId="0" applyFont="1" applyFill="1"/>
    <xf numFmtId="0" fontId="16" fillId="2" borderId="0" xfId="0" applyFont="1" applyFill="1"/>
    <xf numFmtId="0" fontId="17" fillId="2" borderId="0" xfId="0" applyFont="1" applyFill="1" applyAlignment="1">
      <alignment horizontal="left" indent="1"/>
    </xf>
    <xf numFmtId="0" fontId="18" fillId="2" borderId="0" xfId="0" applyFont="1" applyFill="1" applyAlignment="1">
      <alignment horizontal="left" indent="1"/>
    </xf>
    <xf numFmtId="0" fontId="18" fillId="2" borderId="0" xfId="0" applyFont="1" applyFill="1"/>
    <xf numFmtId="0" fontId="19" fillId="2" borderId="0" xfId="0" applyFont="1" applyFill="1"/>
    <xf numFmtId="0" fontId="7" fillId="0" borderId="3" xfId="0" applyNumberFormat="1" applyFont="1" applyFill="1" applyBorder="1" applyAlignment="1"/>
    <xf numFmtId="0" fontId="7" fillId="0" borderId="0" xfId="0" applyNumberFormat="1" applyFont="1" applyFill="1" applyBorder="1" applyAlignment="1"/>
    <xf numFmtId="0" fontId="12" fillId="0" borderId="3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0" fillId="0" borderId="3" xfId="0" applyNumberFormat="1" applyFont="1" applyBorder="1"/>
    <xf numFmtId="0" fontId="0" fillId="0" borderId="0" xfId="0" applyNumberFormat="1" applyFont="1"/>
    <xf numFmtId="0" fontId="0" fillId="0" borderId="0" xfId="0" applyNumberFormat="1"/>
    <xf numFmtId="0" fontId="0" fillId="0" borderId="3" xfId="0" applyNumberFormat="1" applyBorder="1"/>
    <xf numFmtId="0" fontId="8" fillId="0" borderId="0" xfId="0" applyNumberFormat="1" applyFont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>
      <alignment horizontal="right"/>
    </xf>
    <xf numFmtId="0" fontId="9" fillId="2" borderId="2" xfId="0" applyFont="1" applyFill="1" applyBorder="1"/>
    <xf numFmtId="0" fontId="6" fillId="2" borderId="0" xfId="0" applyFont="1" applyFill="1" applyAlignment="1"/>
    <xf numFmtId="0" fontId="9" fillId="2" borderId="1" xfId="0" applyFont="1" applyFill="1" applyBorder="1"/>
    <xf numFmtId="14" fontId="6" fillId="2" borderId="0" xfId="0" applyNumberFormat="1" applyFont="1" applyFill="1" applyAlignment="1">
      <alignment horizontal="right" indent="1"/>
    </xf>
    <xf numFmtId="0" fontId="6" fillId="0" borderId="0" xfId="0" applyFont="1" applyFill="1"/>
    <xf numFmtId="0" fontId="6" fillId="2" borderId="0" xfId="0" applyFont="1" applyFill="1"/>
    <xf numFmtId="166" fontId="11" fillId="0" borderId="0" xfId="0" applyNumberFormat="1" applyFont="1" applyFill="1" applyBorder="1" applyAlignment="1">
      <alignment horizontal="left"/>
    </xf>
  </cellXfs>
  <cellStyles count="48">
    <cellStyle name="20% - Акцент1" xfId="25" builtinId="30" customBuiltin="1"/>
    <cellStyle name="20% - Акцент2" xfId="29" builtinId="34" customBuiltin="1"/>
    <cellStyle name="20% - Акцент3" xfId="33" builtinId="38" customBuiltin="1"/>
    <cellStyle name="20% - Акцент4" xfId="37" builtinId="42" customBuiltin="1"/>
    <cellStyle name="20% - Акцент5" xfId="41" builtinId="46" customBuiltin="1"/>
    <cellStyle name="20% - Акцент6" xfId="45" builtinId="50" customBuiltin="1"/>
    <cellStyle name="40% - Акцент1" xfId="26" builtinId="31" customBuiltin="1"/>
    <cellStyle name="40% - Акцент2" xfId="30" builtinId="35" customBuiltin="1"/>
    <cellStyle name="40% - Акцент3" xfId="34" builtinId="39" customBuiltin="1"/>
    <cellStyle name="40% - Акцент4" xfId="38" builtinId="43" customBuiltin="1"/>
    <cellStyle name="40% - Акцент5" xfId="42" builtinId="47" customBuiltin="1"/>
    <cellStyle name="40% - Акцент6" xfId="46" builtinId="51" customBuiltin="1"/>
    <cellStyle name="60% - Акцент1" xfId="27" builtinId="32" customBuiltin="1"/>
    <cellStyle name="60% - Акцент2" xfId="31" builtinId="36" customBuiltin="1"/>
    <cellStyle name="60% - Акцент3" xfId="35" builtinId="40" customBuiltin="1"/>
    <cellStyle name="60% - Акцент4" xfId="39" builtinId="44" customBuiltin="1"/>
    <cellStyle name="60% - Акцент5" xfId="43" builtinId="48" customBuiltin="1"/>
    <cellStyle name="60% - Акцент6" xfId="47" builtinId="52" customBuiltin="1"/>
    <cellStyle name="Акцент1" xfId="24" builtinId="29" customBuiltin="1"/>
    <cellStyle name="Акцент2" xfId="28" builtinId="33" customBuiltin="1"/>
    <cellStyle name="Акцент3" xfId="32" builtinId="37" customBuiltin="1"/>
    <cellStyle name="Акцент4" xfId="36" builtinId="41" customBuiltin="1"/>
    <cellStyle name="Акцент5" xfId="40" builtinId="45" customBuiltin="1"/>
    <cellStyle name="Акцент6" xfId="44" builtinId="49" customBuiltin="1"/>
    <cellStyle name="Бележка" xfId="21" builtinId="10" customBuiltin="1"/>
    <cellStyle name="Валута" xfId="4" builtinId="4" customBuiltin="1"/>
    <cellStyle name="Валута [0]" xfId="5" builtinId="7" customBuiltin="1"/>
    <cellStyle name="Вход" xfId="15" builtinId="20" customBuiltin="1"/>
    <cellStyle name="Добър" xfId="12" builtinId="26" customBuiltin="1"/>
    <cellStyle name="Заглавие" xfId="7" builtinId="15" customBuiltin="1"/>
    <cellStyle name="Заглавие 1" xfId="8" builtinId="16" customBuiltin="1"/>
    <cellStyle name="Заглавие 2" xfId="9" builtinId="17" customBuiltin="1"/>
    <cellStyle name="Заглавие 3" xfId="10" builtinId="18" customBuiltin="1"/>
    <cellStyle name="Заглавие 4" xfId="11" builtinId="19" customBuiltin="1"/>
    <cellStyle name="Запетая" xfId="2" builtinId="3" customBuiltin="1"/>
    <cellStyle name="Запетая [0]" xfId="3" builtinId="6" customBuiltin="1"/>
    <cellStyle name="Изход" xfId="16" builtinId="21" customBuiltin="1"/>
    <cellStyle name="Изчисление" xfId="17" builtinId="22" customBuiltin="1"/>
    <cellStyle name="Контролна клетка" xfId="19" builtinId="23" customBuiltin="1"/>
    <cellStyle name="Лош" xfId="13" builtinId="27" customBuiltin="1"/>
    <cellStyle name="Неутрален" xfId="14" builtinId="28" customBuiltin="1"/>
    <cellStyle name="Нормален" xfId="0" builtinId="0" customBuiltin="1"/>
    <cellStyle name="Нормален 2" xfId="1" xr:uid="{00000000-0005-0000-0000-000001000000}"/>
    <cellStyle name="Обяснителен текст" xfId="22" builtinId="53" customBuiltin="1"/>
    <cellStyle name="Предупредителен текст" xfId="20" builtinId="11" customBuiltin="1"/>
    <cellStyle name="Процент" xfId="6" builtinId="5" customBuiltin="1"/>
    <cellStyle name="Свързана клетка" xfId="18" builtinId="24" customBuiltin="1"/>
    <cellStyle name="Сума" xfId="23" builtinId="25" customBuiltin="1"/>
  </cellStyles>
  <dxfs count="1"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AE$3" max="2999" min="1900" page="10" val="2019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0</xdr:row>
      <xdr:rowOff>85725</xdr:rowOff>
    </xdr:from>
    <xdr:to>
      <xdr:col>36</xdr:col>
      <xdr:colOff>183262</xdr:colOff>
      <xdr:row>22</xdr:row>
      <xdr:rowOff>7239</xdr:rowOff>
    </xdr:to>
    <xdr:sp macro="" textlink="">
      <xdr:nvSpPr>
        <xdr:cNvPr id="2" name="Рамка за черна дъска" descr="Фигура със запълване &quot;текстура на дърво&quot;, използвана за създаване на рамката &quot;черна дъска&quot;." title="Рамка за черна дъска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7176" y="85725"/>
          <a:ext cx="7431786" cy="4188714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CrisscrossEtching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9526</xdr:colOff>
      <xdr:row>2</xdr:row>
      <xdr:rowOff>104776</xdr:rowOff>
    </xdr:from>
    <xdr:to>
      <xdr:col>41</xdr:col>
      <xdr:colOff>19049</xdr:colOff>
      <xdr:row>3</xdr:row>
      <xdr:rowOff>0</xdr:rowOff>
    </xdr:to>
    <xdr:sp macro="" textlink="">
      <xdr:nvSpPr>
        <xdr:cNvPr id="4" name="Инструкции" descr="За да промените календарната година, щракнете върху брояча" title="Текст с инструкции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715251" y="552451"/>
          <a:ext cx="2447923" cy="333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 rtl="0"/>
          <a:r>
            <a:rPr lang="bg" sz="1000" b="0" i="1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</a:rPr>
            <a:t>За да промените календарната</a:t>
          </a:r>
          <a:r>
            <a:rPr lang="bg" sz="1000" b="0" i="1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</a:rPr>
            <a:t> година, щракнете върху брояча</a:t>
          </a:r>
          <a:endParaRPr lang="en-US" sz="1000" b="0" i="1">
            <a:solidFill>
              <a:schemeClr val="tx1">
                <a:lumMod val="65000"/>
                <a:lumOff val="35000"/>
              </a:schemeClr>
            </a:solidFill>
            <a:latin typeface="Calibri" panose="020F0502020204030204" pitchFamily="34" charset="0"/>
          </a:endParaRPr>
        </a:p>
      </xdr:txBody>
    </xdr:sp>
    <xdr:clientData fPrintsWithSheet="0"/>
  </xdr:twoCellAnchor>
  <xdr:twoCellAnchor>
    <xdr:from>
      <xdr:col>18</xdr:col>
      <xdr:colOff>114300</xdr:colOff>
      <xdr:row>4</xdr:row>
      <xdr:rowOff>85725</xdr:rowOff>
    </xdr:from>
    <xdr:to>
      <xdr:col>18</xdr:col>
      <xdr:colOff>114300</xdr:colOff>
      <xdr:row>20</xdr:row>
      <xdr:rowOff>24765</xdr:rowOff>
    </xdr:to>
    <xdr:cxnSp macro="">
      <xdr:nvCxnSpPr>
        <xdr:cNvPr id="6" name="Разделител за черна дъска" descr="Разделител за черна дъска" title="Разделител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4343400" y="1076325"/>
          <a:ext cx="0" cy="2834640"/>
        </a:xfrm>
        <a:prstGeom prst="line">
          <a:avLst/>
        </a:prstGeom>
        <a:ln w="3175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200025</xdr:colOff>
          <xdr:row>2</xdr:row>
          <xdr:rowOff>85725</xdr:rowOff>
        </xdr:from>
        <xdr:to>
          <xdr:col>35</xdr:col>
          <xdr:colOff>133350</xdr:colOff>
          <xdr:row>2</xdr:row>
          <xdr:rowOff>390525</xdr:rowOff>
        </xdr:to>
        <xdr:sp macro="" textlink="">
          <xdr:nvSpPr>
            <xdr:cNvPr id="1025" name="Брояч" descr="Използвайте бутона на брояча, за да промените календарната година, или променете годината в клетка AF3.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AK50"/>
  <sheetViews>
    <sheetView showGridLines="0" tabSelected="1" zoomScaleNormal="100" workbookViewId="0"/>
  </sheetViews>
  <sheetFormatPr defaultRowHeight="12.75" x14ac:dyDescent="0.2"/>
  <cols>
    <col min="1" max="1" width="3.42578125" customWidth="1"/>
    <col min="2" max="2" width="3.140625" customWidth="1"/>
    <col min="3" max="9" width="3.28515625" customWidth="1"/>
    <col min="10" max="11" width="2.28515625" customWidth="1"/>
    <col min="12" max="18" width="3.28515625" customWidth="1"/>
    <col min="19" max="20" width="2.28515625" customWidth="1"/>
    <col min="21" max="27" width="3.28515625" customWidth="1"/>
    <col min="28" max="29" width="2.28515625" customWidth="1"/>
    <col min="30" max="37" width="3.28515625" customWidth="1"/>
  </cols>
  <sheetData>
    <row r="1" spans="3:36" ht="20.25" customHeight="1" x14ac:dyDescent="0.2"/>
    <row r="2" spans="3:36" ht="15" customHeight="1" x14ac:dyDescent="0.2">
      <c r="C2" s="14"/>
      <c r="D2" s="14"/>
      <c r="E2" s="15"/>
      <c r="F2" s="15"/>
      <c r="G2" s="15"/>
      <c r="H2" s="15"/>
      <c r="I2" s="15"/>
      <c r="J2" s="15"/>
      <c r="K2" s="15"/>
      <c r="L2" s="15"/>
      <c r="M2" s="15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3:36" ht="34.5" x14ac:dyDescent="0.45">
      <c r="C3" s="15"/>
      <c r="D3" s="38" t="s">
        <v>2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9">
        <f ca="1">YEAR(TODAY())</f>
        <v>2019</v>
      </c>
      <c r="AF3" s="39"/>
      <c r="AG3" s="39"/>
      <c r="AH3" s="39"/>
      <c r="AI3" s="39"/>
      <c r="AJ3" s="14"/>
    </row>
    <row r="4" spans="3:36" ht="9.75" customHeight="1" x14ac:dyDescent="0.2"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3:36" ht="15.75" x14ac:dyDescent="0.25">
      <c r="C5" s="14"/>
      <c r="D5" s="3" t="s">
        <v>3</v>
      </c>
      <c r="E5" s="16"/>
      <c r="F5" s="17"/>
      <c r="G5" s="17"/>
      <c r="H5" s="18"/>
      <c r="I5" s="18"/>
      <c r="J5" s="18"/>
      <c r="K5" s="18"/>
      <c r="L5" s="18"/>
      <c r="M5" s="3"/>
      <c r="N5" s="19"/>
      <c r="O5" s="18"/>
      <c r="P5" s="19"/>
      <c r="Q5" s="19"/>
      <c r="R5" s="19"/>
      <c r="S5" s="14"/>
      <c r="T5" s="14"/>
      <c r="U5" s="12" t="s">
        <v>9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4"/>
      <c r="AJ5" s="14"/>
    </row>
    <row r="6" spans="3:36" x14ac:dyDescent="0.2">
      <c r="C6" s="4"/>
      <c r="D6" s="43">
        <f ca="1">DATE(YEAR(TODAY()),1,1)</f>
        <v>43466</v>
      </c>
      <c r="E6" s="43"/>
      <c r="F6" s="43"/>
      <c r="G6" s="43"/>
      <c r="H6" s="41" t="s">
        <v>6</v>
      </c>
      <c r="I6" s="41"/>
      <c r="J6" s="41"/>
      <c r="K6" s="41"/>
      <c r="L6" s="41"/>
      <c r="M6" s="41"/>
      <c r="N6" s="41"/>
      <c r="O6" s="41"/>
      <c r="P6" s="41"/>
      <c r="Q6" s="41"/>
      <c r="R6" s="13"/>
      <c r="S6" s="6"/>
      <c r="T6" s="4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"/>
    </row>
    <row r="7" spans="3:36" ht="14.25" x14ac:dyDescent="0.2">
      <c r="C7" s="5"/>
      <c r="D7" s="43">
        <f ca="1">DATE(YEAR(TODAY()),3,25)</f>
        <v>43549</v>
      </c>
      <c r="E7" s="43"/>
      <c r="F7" s="43"/>
      <c r="G7" s="43"/>
      <c r="H7" s="41" t="s">
        <v>7</v>
      </c>
      <c r="I7" s="41"/>
      <c r="J7" s="41"/>
      <c r="K7" s="41"/>
      <c r="L7" s="41"/>
      <c r="M7" s="41"/>
      <c r="N7" s="41"/>
      <c r="O7" s="41"/>
      <c r="P7" s="41"/>
      <c r="Q7" s="41"/>
      <c r="R7" s="13"/>
      <c r="S7" s="6"/>
      <c r="T7" s="4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"/>
    </row>
    <row r="8" spans="3:36" ht="14.25" x14ac:dyDescent="0.2">
      <c r="C8" s="5"/>
      <c r="D8" s="43"/>
      <c r="E8" s="43"/>
      <c r="F8" s="43"/>
      <c r="G8" s="43"/>
      <c r="H8" s="41"/>
      <c r="I8" s="41"/>
      <c r="J8" s="41"/>
      <c r="K8" s="41"/>
      <c r="L8" s="41"/>
      <c r="M8" s="41"/>
      <c r="N8" s="41"/>
      <c r="O8" s="41"/>
      <c r="P8" s="41"/>
      <c r="Q8" s="41"/>
      <c r="R8" s="13"/>
      <c r="S8" s="6"/>
      <c r="T8" s="4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"/>
    </row>
    <row r="9" spans="3:36" ht="14.25" x14ac:dyDescent="0.2">
      <c r="C9" s="5"/>
      <c r="D9" s="43"/>
      <c r="E9" s="43"/>
      <c r="F9" s="43"/>
      <c r="G9" s="43"/>
      <c r="H9" s="41"/>
      <c r="I9" s="41"/>
      <c r="J9" s="41"/>
      <c r="K9" s="41"/>
      <c r="L9" s="41"/>
      <c r="M9" s="41"/>
      <c r="N9" s="41"/>
      <c r="O9" s="41"/>
      <c r="P9" s="41"/>
      <c r="Q9" s="41"/>
      <c r="R9" s="13"/>
      <c r="S9" s="6"/>
      <c r="T9" s="4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"/>
    </row>
    <row r="10" spans="3:36" ht="14.25" x14ac:dyDescent="0.2">
      <c r="C10" s="5"/>
      <c r="D10" s="43"/>
      <c r="E10" s="43"/>
      <c r="F10" s="43"/>
      <c r="G10" s="43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13"/>
      <c r="S10" s="6"/>
      <c r="T10" s="4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"/>
    </row>
    <row r="11" spans="3:36" ht="14.25" x14ac:dyDescent="0.2">
      <c r="C11" s="5"/>
      <c r="D11" s="43"/>
      <c r="E11" s="43"/>
      <c r="F11" s="43"/>
      <c r="G11" s="43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13"/>
      <c r="S11" s="6"/>
      <c r="T11" s="4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"/>
    </row>
    <row r="12" spans="3:36" ht="14.25" x14ac:dyDescent="0.2">
      <c r="C12" s="5"/>
      <c r="D12" s="43"/>
      <c r="E12" s="43"/>
      <c r="F12" s="43"/>
      <c r="G12" s="43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13"/>
      <c r="S12" s="6"/>
      <c r="T12" s="4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"/>
    </row>
    <row r="13" spans="3:36" ht="14.25" x14ac:dyDescent="0.2">
      <c r="C13" s="5"/>
      <c r="D13" s="43"/>
      <c r="E13" s="43"/>
      <c r="F13" s="43"/>
      <c r="G13" s="43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13"/>
      <c r="S13" s="6"/>
      <c r="T13" s="4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"/>
    </row>
    <row r="14" spans="3:36" ht="14.25" x14ac:dyDescent="0.2">
      <c r="C14" s="5"/>
      <c r="D14" s="43"/>
      <c r="E14" s="43"/>
      <c r="F14" s="43"/>
      <c r="G14" s="43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13"/>
      <c r="S14" s="6"/>
      <c r="T14" s="4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"/>
    </row>
    <row r="15" spans="3:36" ht="14.25" x14ac:dyDescent="0.2">
      <c r="C15" s="5"/>
      <c r="D15" s="43"/>
      <c r="E15" s="43"/>
      <c r="F15" s="43"/>
      <c r="G15" s="43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13"/>
      <c r="S15" s="6"/>
      <c r="T15" s="4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"/>
    </row>
    <row r="16" spans="3:36" ht="14.25" x14ac:dyDescent="0.2">
      <c r="C16" s="5"/>
      <c r="D16" s="43"/>
      <c r="E16" s="43"/>
      <c r="F16" s="43"/>
      <c r="G16" s="43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13"/>
      <c r="S16" s="6"/>
      <c r="T16" s="4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"/>
    </row>
    <row r="17" spans="1:37" ht="14.25" x14ac:dyDescent="0.2">
      <c r="C17" s="5"/>
      <c r="D17" s="43"/>
      <c r="E17" s="43"/>
      <c r="F17" s="43"/>
      <c r="G17" s="43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13"/>
      <c r="S17" s="6"/>
      <c r="T17" s="4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"/>
    </row>
    <row r="18" spans="1:37" ht="14.25" x14ac:dyDescent="0.2">
      <c r="C18" s="5"/>
      <c r="D18" s="43"/>
      <c r="E18" s="43"/>
      <c r="F18" s="43"/>
      <c r="G18" s="43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13"/>
      <c r="S18" s="6"/>
      <c r="T18" s="4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"/>
    </row>
    <row r="19" spans="1:37" ht="14.25" x14ac:dyDescent="0.2">
      <c r="C19" s="5"/>
      <c r="D19" s="43"/>
      <c r="E19" s="43"/>
      <c r="F19" s="43"/>
      <c r="G19" s="43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13"/>
      <c r="S19" s="6"/>
      <c r="T19" s="4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"/>
    </row>
    <row r="20" spans="1:37" ht="14.25" x14ac:dyDescent="0.2">
      <c r="C20" s="5"/>
      <c r="D20" s="43"/>
      <c r="E20" s="43"/>
      <c r="F20" s="43"/>
      <c r="G20" s="43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13"/>
      <c r="S20" s="6"/>
      <c r="T20" s="4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"/>
    </row>
    <row r="21" spans="1:37" ht="14.25" x14ac:dyDescent="0.2">
      <c r="C21" s="5"/>
      <c r="D21" s="45"/>
      <c r="E21" s="45"/>
      <c r="F21" s="6"/>
      <c r="G21" s="6"/>
      <c r="H21" s="6"/>
      <c r="I21" s="6"/>
      <c r="J21" s="6"/>
      <c r="K21" s="6"/>
      <c r="L21" s="6"/>
      <c r="M21" s="5"/>
      <c r="N21" s="5"/>
      <c r="O21" s="5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7" ht="14.25" x14ac:dyDescent="0.2">
      <c r="C22" s="7"/>
      <c r="D22" s="44"/>
      <c r="E22" s="44"/>
      <c r="F22" s="8"/>
      <c r="G22" s="8"/>
      <c r="H22" s="8"/>
      <c r="I22" s="9"/>
      <c r="J22" s="9"/>
      <c r="K22" s="9"/>
      <c r="L22" s="9"/>
      <c r="M22" s="10"/>
      <c r="N22" s="10"/>
      <c r="O22" s="10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1:37" ht="33.75" customHeight="1" x14ac:dyDescent="0.2"/>
    <row r="24" spans="1:37" ht="15.75" x14ac:dyDescent="0.25">
      <c r="C24" s="46">
        <f ca="1">DATE(CalendarYear,1,1)</f>
        <v>43466</v>
      </c>
      <c r="D24" s="46"/>
      <c r="E24" s="46"/>
      <c r="F24" s="46"/>
      <c r="G24" s="46"/>
      <c r="H24" s="46"/>
      <c r="I24" s="46"/>
      <c r="J24" s="20"/>
      <c r="K24" s="21"/>
      <c r="L24" s="46">
        <f ca="1">DATE(CalendarYear,2,1)</f>
        <v>43497</v>
      </c>
      <c r="M24" s="46"/>
      <c r="N24" s="46"/>
      <c r="O24" s="46"/>
      <c r="P24" s="46"/>
      <c r="Q24" s="46"/>
      <c r="R24" s="46"/>
      <c r="S24" s="20"/>
      <c r="T24" s="28"/>
      <c r="U24" s="46">
        <f ca="1">DATE(CalendarYear,3,1)</f>
        <v>43525</v>
      </c>
      <c r="V24" s="46"/>
      <c r="W24" s="46"/>
      <c r="X24" s="46"/>
      <c r="Y24" s="46"/>
      <c r="Z24" s="46"/>
      <c r="AA24" s="46"/>
      <c r="AB24" s="20"/>
      <c r="AC24" s="25"/>
      <c r="AD24" s="46">
        <f ca="1">DATE(CalendarYear,4,1)</f>
        <v>43556</v>
      </c>
      <c r="AE24" s="46"/>
      <c r="AF24" s="46"/>
      <c r="AG24" s="46"/>
      <c r="AH24" s="46"/>
      <c r="AI24" s="46"/>
      <c r="AJ24" s="46"/>
    </row>
    <row r="25" spans="1:37" ht="15.75" x14ac:dyDescent="0.25">
      <c r="C25" s="31" t="s">
        <v>0</v>
      </c>
      <c r="D25" s="31" t="s">
        <v>4</v>
      </c>
      <c r="E25" s="31" t="s">
        <v>1</v>
      </c>
      <c r="F25" s="31" t="s">
        <v>5</v>
      </c>
      <c r="G25" s="31" t="s">
        <v>0</v>
      </c>
      <c r="H25" s="31" t="s">
        <v>1</v>
      </c>
      <c r="I25" s="31" t="s">
        <v>8</v>
      </c>
      <c r="J25" s="22"/>
      <c r="K25" s="23"/>
      <c r="L25" s="36" t="s">
        <v>0</v>
      </c>
      <c r="M25" s="36" t="s">
        <v>4</v>
      </c>
      <c r="N25" s="36" t="s">
        <v>1</v>
      </c>
      <c r="O25" s="36" t="s">
        <v>5</v>
      </c>
      <c r="P25" s="36" t="s">
        <v>0</v>
      </c>
      <c r="Q25" s="36" t="s">
        <v>1</v>
      </c>
      <c r="R25" s="36" t="s">
        <v>8</v>
      </c>
      <c r="S25" s="22"/>
      <c r="T25" s="28"/>
      <c r="U25" s="32" t="s">
        <v>0</v>
      </c>
      <c r="V25" s="32" t="s">
        <v>4</v>
      </c>
      <c r="W25" s="32" t="s">
        <v>1</v>
      </c>
      <c r="X25" s="32" t="s">
        <v>5</v>
      </c>
      <c r="Y25" s="32" t="s">
        <v>0</v>
      </c>
      <c r="Z25" s="32" t="s">
        <v>1</v>
      </c>
      <c r="AA25" s="32" t="s">
        <v>8</v>
      </c>
      <c r="AB25" s="22"/>
      <c r="AC25" s="21"/>
      <c r="AD25" s="36" t="s">
        <v>0</v>
      </c>
      <c r="AE25" s="36" t="s">
        <v>4</v>
      </c>
      <c r="AF25" s="36" t="s">
        <v>1</v>
      </c>
      <c r="AG25" s="36" t="s">
        <v>5</v>
      </c>
      <c r="AH25" s="36" t="s">
        <v>0</v>
      </c>
      <c r="AI25" s="36" t="s">
        <v>1</v>
      </c>
      <c r="AJ25" s="36" t="s">
        <v>8</v>
      </c>
    </row>
    <row r="26" spans="1:37" x14ac:dyDescent="0.2">
      <c r="C26" s="37" t="str">
        <f ca="1">IF(DAY(ЯнуНед1)=1,"",IF(AND(YEAR(ЯнуНед1+1)=CalendarYear,MONTH(ЯнуНед1+1)=1),ЯнуНед1+1,""))</f>
        <v/>
      </c>
      <c r="D26" s="37">
        <f ca="1">IF(DAY(ЯнуНед1)=1,"",IF(AND(YEAR(ЯнуНед1+2)=CalendarYear,MONTH(ЯнуНед1+2)=1),ЯнуНед1+2,""))</f>
        <v>43466</v>
      </c>
      <c r="E26" s="37">
        <f ca="1">IF(DAY(ЯнуНед1)=1,"",IF(AND(YEAR(ЯнуНед1+3)=CalendarYear,MONTH(ЯнуНед1+3)=1),ЯнуНед1+3,""))</f>
        <v>43467</v>
      </c>
      <c r="F26" s="37">
        <f ca="1">IF(DAY(ЯнуНед1)=1,"",IF(AND(YEAR(ЯнуНед1+4)=CalendarYear,MONTH(ЯнуНед1+4)=1),ЯнуНед1+4,""))</f>
        <v>43468</v>
      </c>
      <c r="G26" s="37">
        <f ca="1">IF(DAY(ЯнуНед1)=1,"",IF(AND(YEAR(ЯнуНед1+5)=CalendarYear,MONTH(ЯнуНед1+5)=1),ЯнуНед1+5,""))</f>
        <v>43469</v>
      </c>
      <c r="H26" s="37">
        <f ca="1">IF(DAY(ЯнуНед1)=1,"",IF(AND(YEAR(ЯнуНед1+6)=CalendarYear,MONTH(ЯнуНед1+6)=1),ЯнуНед1+6,""))</f>
        <v>43470</v>
      </c>
      <c r="I26" s="37">
        <f ca="1">IF(DAY(ЯнуНед1)=1,IF(AND(YEAR(ЯнуНед1)=CalendarYear,MONTH(ЯнуНед1)=1),ЯнуНед1,""),IF(AND(YEAR(ЯнуНед1+7)=CalendarYear,MONTH(ЯнуНед1+7)=1),ЯнуНед1+7,""))</f>
        <v>43471</v>
      </c>
      <c r="J26" s="24"/>
      <c r="K26" s="23"/>
      <c r="L26" s="37" t="str">
        <f ca="1">IF(DAY(ФевНед1)=1,"",IF(AND(YEAR(ФевНед1+1)=CalendarYear,MONTH(ФевНед1+1)=2),ФевНед1+1,""))</f>
        <v/>
      </c>
      <c r="M26" s="37" t="str">
        <f ca="1">IF(DAY(ФевНед1)=1,"",IF(AND(YEAR(ФевНед1+2)=CalendarYear,MONTH(ФевНед1+2)=2),ФевНед1+2,""))</f>
        <v/>
      </c>
      <c r="N26" s="37" t="str">
        <f ca="1">IF(DAY(ФевНед1)=1,"",IF(AND(YEAR(ФевНед1+3)=CalendarYear,MONTH(ФевНед1+3)=2),ФевНед1+3,""))</f>
        <v/>
      </c>
      <c r="O26" s="37" t="str">
        <f ca="1">IF(DAY(ФевНед1)=1,"",IF(AND(YEAR(ФевНед1+4)=CalendarYear,MONTH(ФевНед1+4)=2),ФевНед1+4,""))</f>
        <v/>
      </c>
      <c r="P26" s="37">
        <f ca="1">IF(DAY(ФевНед1)=1,"",IF(AND(YEAR(ФевНед1+5)=CalendarYear,MONTH(ФевНед1+5)=2),ФевНед1+5,""))</f>
        <v>43497</v>
      </c>
      <c r="Q26" s="37">
        <f ca="1">IF(DAY(ФевНед1)=1,"",IF(AND(YEAR(ФевНед1+6)=CalendarYear,MONTH(ФевНед1+6)=2),ФевНед1+6,""))</f>
        <v>43498</v>
      </c>
      <c r="R26" s="37">
        <f ca="1">IF(DAY(ФевНед1)=1,IF(AND(YEAR(ФевНед1)=CalendarYear,MONTH(ФевНед1)=2),ФевНед1,""),IF(AND(YEAR(ФевНед1+7)=CalendarYear,MONTH(ФевНед1+7)=2),ФевНед1+7,""))</f>
        <v>43499</v>
      </c>
      <c r="S26" s="24"/>
      <c r="T26" s="28"/>
      <c r="U26" s="37" t="str">
        <f ca="1">IF(DAY(МарНед1)=1,"",IF(AND(YEAR(МарНед1+1)=CalendarYear,MONTH(МарНед1+1)=3),МарНед1+1,""))</f>
        <v/>
      </c>
      <c r="V26" s="37" t="str">
        <f ca="1">IF(DAY(МарНед1)=1,"",IF(AND(YEAR(МарНед1+2)=CalendarYear,MONTH(МарНед1+2)=3),МарНед1+2,""))</f>
        <v/>
      </c>
      <c r="W26" s="37" t="str">
        <f ca="1">IF(DAY(МарНед1)=1,"",IF(AND(YEAR(МарНед1+3)=CalendarYear,MONTH(МарНед1+3)=3),МарНед1+3,""))</f>
        <v/>
      </c>
      <c r="X26" s="37" t="str">
        <f ca="1">IF(DAY(МарНед1)=1,"",IF(AND(YEAR(МарНед1+4)=CalendarYear,MONTH(МарНед1+4)=3),МарНед1+4,""))</f>
        <v/>
      </c>
      <c r="Y26" s="37">
        <f ca="1">IF(DAY(МарНед1)=1,"",IF(AND(YEAR(МарНед1+5)=CalendarYear,MONTH(МарНед1+5)=3),МарНед1+5,""))</f>
        <v>43525</v>
      </c>
      <c r="Z26" s="37">
        <f ca="1">IF(DAY(МарНед1)=1,"",IF(AND(YEAR(МарНед1+6)=CalendarYear,MONTH(МарНед1+6)=3),МарНед1+6,""))</f>
        <v>43526</v>
      </c>
      <c r="AA26" s="37">
        <f ca="1">IF(DAY(МарНед1)=1,IF(AND(YEAR(МарНед1)=CalendarYear,MONTH(МарНед1)=3),МарНед1,""),IF(AND(YEAR(МарНед1+7)=CalendarYear,MONTH(МарНед1+7)=3),МарНед1+7,""))</f>
        <v>43527</v>
      </c>
      <c r="AB26" s="24"/>
      <c r="AC26" s="23"/>
      <c r="AD26" s="37">
        <f ca="1">IF(DAY(АпрНед1)=1,"",IF(AND(YEAR(АпрНед1+1)=CalendarYear,MONTH(АпрНед1+1)=4),АпрНед1+1,""))</f>
        <v>43556</v>
      </c>
      <c r="AE26" s="37">
        <f ca="1">IF(DAY(АпрНед1)=1,"",IF(AND(YEAR(АпрНед1+2)=CalendarYear,MONTH(АпрНед1+2)=4),АпрНед1+2,""))</f>
        <v>43557</v>
      </c>
      <c r="AF26" s="37">
        <f ca="1">IF(DAY(АпрНед1)=1,"",IF(AND(YEAR(АпрНед1+3)=CalendarYear,MONTH(АпрНед1+3)=4),АпрНед1+3,""))</f>
        <v>43558</v>
      </c>
      <c r="AG26" s="37">
        <f ca="1">IF(DAY(АпрНед1)=1,"",IF(AND(YEAR(АпрНед1+4)=CalendarYear,MONTH(АпрНед1+4)=4),АпрНед1+4,""))</f>
        <v>43559</v>
      </c>
      <c r="AH26" s="37">
        <f ca="1">IF(DAY(АпрНед1)=1,"",IF(AND(YEAR(АпрНед1+5)=CalendarYear,MONTH(АпрНед1+5)=4),АпрНед1+5,""))</f>
        <v>43560</v>
      </c>
      <c r="AI26" s="37">
        <f ca="1">IF(DAY(АпрНед1)=1,"",IF(AND(YEAR(АпрНед1+6)=CalendarYear,MONTH(АпрНед1+6)=4),АпрНед1+6,""))</f>
        <v>43561</v>
      </c>
      <c r="AJ26" s="37">
        <f ca="1">IF(DAY(АпрНед1)=1,IF(AND(YEAR(АпрНед1)=CalendarYear,MONTH(АпрНед1)=4),АпрНед1,""),IF(AND(YEAR(АпрНед1+7)=CalendarYear,MONTH(АпрНед1+7)=4),АпрНед1+7,""))</f>
        <v>43562</v>
      </c>
    </row>
    <row r="27" spans="1:37" x14ac:dyDescent="0.2">
      <c r="C27" s="37">
        <f ca="1">IF(DAY(ЯнуНед1)=1,IF(AND(YEAR(ЯнуНед1+1)=CalendarYear,MONTH(ЯнуНед1+1)=1),ЯнуНед1+1,""),IF(AND(YEAR(ЯнуНед1+8)=CalendarYear,MONTH(ЯнуНед1+8)=1),ЯнуНед1+8,""))</f>
        <v>43472</v>
      </c>
      <c r="D27" s="37">
        <f ca="1">IF(DAY(ЯнуНед1)=1,IF(AND(YEAR(ЯнуНед1+2)=CalendarYear,MONTH(ЯнуНед1+2)=1),ЯнуНед1+2,""),IF(AND(YEAR(ЯнуНед1+9)=CalendarYear,MONTH(ЯнуНед1+9)=1),ЯнуНед1+9,""))</f>
        <v>43473</v>
      </c>
      <c r="E27" s="37">
        <f ca="1">IF(DAY(ЯнуНед1)=1,IF(AND(YEAR(ЯнуНед1+3)=CalendarYear,MONTH(ЯнуНед1+3)=1),ЯнуНед1+3,""),IF(AND(YEAR(ЯнуНед1+10)=CalendarYear,MONTH(ЯнуНед1+10)=1),ЯнуНед1+10,""))</f>
        <v>43474</v>
      </c>
      <c r="F27" s="37">
        <f ca="1">IF(DAY(ЯнуНед1)=1,IF(AND(YEAR(ЯнуНед1+4)=CalendarYear,MONTH(ЯнуНед1+4)=1),ЯнуНед1+4,""),IF(AND(YEAR(ЯнуНед1+11)=CalendarYear,MONTH(ЯнуНед1+11)=1),ЯнуНед1+11,""))</f>
        <v>43475</v>
      </c>
      <c r="G27" s="37">
        <f ca="1">IF(DAY(ЯнуНед1)=1,IF(AND(YEAR(ЯнуНед1+5)=CalendarYear,MONTH(ЯнуНед1+5)=1),ЯнуНед1+5,""),IF(AND(YEAR(ЯнуНед1+12)=CalendarYear,MONTH(ЯнуНед1+12)=1),ЯнуНед1+12,""))</f>
        <v>43476</v>
      </c>
      <c r="H27" s="37">
        <f ca="1">IF(DAY(ЯнуНед1)=1,IF(AND(YEAR(ЯнуНед1+6)=CalendarYear,MONTH(ЯнуНед1+6)=1),ЯнуНед1+6,""),IF(AND(YEAR(ЯнуНед1+13)=CalendarYear,MONTH(ЯнуНед1+13)=1),ЯнуНед1+13,""))</f>
        <v>43477</v>
      </c>
      <c r="I27" s="37">
        <f ca="1">IF(DAY(ЯнуНед1)=1,IF(AND(YEAR(ЯнуНед1+7)=CalendarYear,MONTH(ЯнуНед1+7)=1),ЯнуНед1+7,""),IF(AND(YEAR(ЯнуНед1+14)=CalendarYear,MONTH(ЯнуНед1+14)=1),ЯнуНед1+14,""))</f>
        <v>43478</v>
      </c>
      <c r="J27" s="24"/>
      <c r="K27" s="23"/>
      <c r="L27" s="37">
        <f ca="1">IF(DAY(ФевНед1)=1,IF(AND(YEAR(ФевНед1+1)=CalendarYear,MONTH(ФевНед1+1)=2),ФевНед1+1,""),IF(AND(YEAR(ФевНед1+8)=CalendarYear,MONTH(ФевНед1+8)=2),ФевНед1+8,""))</f>
        <v>43500</v>
      </c>
      <c r="M27" s="37">
        <f ca="1">IF(DAY(ФевНед1)=1,IF(AND(YEAR(ФевНед1+2)=CalendarYear,MONTH(ФевНед1+2)=2),ФевНед1+2,""),IF(AND(YEAR(ФевНед1+9)=CalendarYear,MONTH(ФевНед1+9)=2),ФевНед1+9,""))</f>
        <v>43501</v>
      </c>
      <c r="N27" s="37">
        <f ca="1">IF(DAY(ФевНед1)=1,IF(AND(YEAR(ФевНед1+3)=CalendarYear,MONTH(ФевНед1+3)=2),ФевНед1+3,""),IF(AND(YEAR(ФевНед1+10)=CalendarYear,MONTH(ФевНед1+10)=2),ФевНед1+10,""))</f>
        <v>43502</v>
      </c>
      <c r="O27" s="37">
        <f ca="1">IF(DAY(ФевНед1)=1,IF(AND(YEAR(ФевНед1+4)=CalendarYear,MONTH(ФевНед1+4)=2),ФевНед1+4,""),IF(AND(YEAR(ФевНед1+11)=CalendarYear,MONTH(ФевНед1+11)=2),ФевНед1+11,""))</f>
        <v>43503</v>
      </c>
      <c r="P27" s="37">
        <f ca="1">IF(DAY(ФевНед1)=1,IF(AND(YEAR(ФевНед1+5)=CalendarYear,MONTH(ФевНед1+5)=2),ФевНед1+5,""),IF(AND(YEAR(ФевНед1+12)=CalendarYear,MONTH(ФевНед1+12)=2),ФевНед1+12,""))</f>
        <v>43504</v>
      </c>
      <c r="Q27" s="37">
        <f ca="1">IF(DAY(ФевНед1)=1,IF(AND(YEAR(ФевНед1+6)=CalendarYear,MONTH(ФевНед1+6)=2),ФевНед1+6,""),IF(AND(YEAR(ФевНед1+13)=CalendarYear,MONTH(ФевНед1+13)=2),ФевНед1+13,""))</f>
        <v>43505</v>
      </c>
      <c r="R27" s="37">
        <f ca="1">IF(DAY(ФевНед1)=1,IF(AND(YEAR(ФевНед1+7)=CalendarYear,MONTH(ФевНед1+7)=2),ФевНед1+7,""),IF(AND(YEAR(ФевНед1+14)=CalendarYear,MONTH(ФевНед1+14)=2),ФевНед1+14,""))</f>
        <v>43506</v>
      </c>
      <c r="S27" s="24"/>
      <c r="T27" s="28"/>
      <c r="U27" s="37">
        <f ca="1">IF(DAY(МарНед1)=1,IF(AND(YEAR(МарНед1+1)=CalendarYear,MONTH(МарНед1+1)=3),МарНед1+1,""),IF(AND(YEAR(МарНед1+8)=CalendarYear,MONTH(МарНед1+8)=3),МарНед1+8,""))</f>
        <v>43528</v>
      </c>
      <c r="V27" s="37">
        <f ca="1">IF(DAY(МарНед1)=1,IF(AND(YEAR(МарНед1+2)=CalendarYear,MONTH(МарНед1+2)=3),МарНед1+2,""),IF(AND(YEAR(МарНед1+9)=CalendarYear,MONTH(МарНед1+9)=3),МарНед1+9,""))</f>
        <v>43529</v>
      </c>
      <c r="W27" s="37">
        <f ca="1">IF(DAY(МарНед1)=1,IF(AND(YEAR(МарНед1+3)=CalendarYear,MONTH(МарНед1+3)=3),МарНед1+3,""),IF(AND(YEAR(МарНед1+10)=CalendarYear,MONTH(МарНед1+10)=3),МарНед1+10,""))</f>
        <v>43530</v>
      </c>
      <c r="X27" s="37">
        <f ca="1">IF(DAY(МарНед1)=1,IF(AND(YEAR(МарНед1+4)=CalendarYear,MONTH(МарНед1+4)=3),МарНед1+4,""),IF(AND(YEAR(МарНед1+11)=CalendarYear,MONTH(МарНед1+11)=3),МарНед1+11,""))</f>
        <v>43531</v>
      </c>
      <c r="Y27" s="37">
        <f ca="1">IF(DAY(МарНед1)=1,IF(AND(YEAR(МарНед1+5)=CalendarYear,MONTH(МарНед1+5)=3),МарНед1+5,""),IF(AND(YEAR(МарНед1+12)=CalendarYear,MONTH(МарНед1+12)=3),МарНед1+12,""))</f>
        <v>43532</v>
      </c>
      <c r="Z27" s="37">
        <f ca="1">IF(DAY(МарНед1)=1,IF(AND(YEAR(МарНед1+6)=CalendarYear,MONTH(МарНед1+6)=3),МарНед1+6,""),IF(AND(YEAR(МарНед1+13)=CalendarYear,MONTH(МарНед1+13)=3),МарНед1+13,""))</f>
        <v>43533</v>
      </c>
      <c r="AA27" s="37">
        <f ca="1">IF(DAY(МарНед1)=1,IF(AND(YEAR(МарНед1+7)=CalendarYear,MONTH(МарНед1+7)=3),МарНед1+7,""),IF(AND(YEAR(МарНед1+14)=CalendarYear,MONTH(МарНед1+14)=3),МарНед1+14,""))</f>
        <v>43534</v>
      </c>
      <c r="AB27" s="24"/>
      <c r="AC27" s="23"/>
      <c r="AD27" s="37">
        <f ca="1">IF(DAY(АпрНед1)=1,IF(AND(YEAR(АпрНед1+1)=CalendarYear,MONTH(АпрНед1+1)=4),АпрНед1+1,""),IF(AND(YEAR(АпрНед1+8)=CalendarYear,MONTH(АпрНед1+8)=4),АпрНед1+8,""))</f>
        <v>43563</v>
      </c>
      <c r="AE27" s="37">
        <f ca="1">IF(DAY(АпрНед1)=1,IF(AND(YEAR(АпрНед1+2)=CalendarYear,MONTH(АпрНед1+2)=4),АпрНед1+2,""),IF(AND(YEAR(АпрНед1+9)=CalendarYear,MONTH(АпрНед1+9)=4),АпрНед1+9,""))</f>
        <v>43564</v>
      </c>
      <c r="AF27" s="37">
        <f ca="1">IF(DAY(АпрНед1)=1,IF(AND(YEAR(АпрНед1+3)=CalendarYear,MONTH(АпрНед1+3)=4),АпрНед1+3,""),IF(AND(YEAR(АпрНед1+10)=CalendarYear,MONTH(АпрНед1+10)=4),АпрНед1+10,""))</f>
        <v>43565</v>
      </c>
      <c r="AG27" s="37">
        <f ca="1">IF(DAY(АпрНед1)=1,IF(AND(YEAR(АпрНед1+4)=CalendarYear,MONTH(АпрНед1+4)=4),АпрНед1+4,""),IF(AND(YEAR(АпрНед1+11)=CalendarYear,MONTH(АпрНед1+11)=4),АпрНед1+11,""))</f>
        <v>43566</v>
      </c>
      <c r="AH27" s="37">
        <f ca="1">IF(DAY(АпрНед1)=1,IF(AND(YEAR(АпрНед1+5)=CalendarYear,MONTH(АпрНед1+5)=4),АпрНед1+5,""),IF(AND(YEAR(АпрНед1+12)=CalendarYear,MONTH(АпрНед1+12)=4),АпрНед1+12,""))</f>
        <v>43567</v>
      </c>
      <c r="AI27" s="37">
        <f ca="1">IF(DAY(АпрНед1)=1,IF(AND(YEAR(АпрНед1+6)=CalendarYear,MONTH(АпрНед1+6)=4),АпрНед1+6,""),IF(AND(YEAR(АпрНед1+13)=CalendarYear,MONTH(АпрНед1+13)=4),АпрНед1+13,""))</f>
        <v>43568</v>
      </c>
      <c r="AJ27" s="37">
        <f ca="1">IF(DAY(АпрНед1)=1,IF(AND(YEAR(АпрНед1+7)=CalendarYear,MONTH(АпрНед1+7)=4),АпрНед1+7,""),IF(AND(YEAR(АпрНед1+14)=CalendarYear,MONTH(АпрНед1+14)=4),АпрНед1+14,""))</f>
        <v>43569</v>
      </c>
    </row>
    <row r="28" spans="1:37" x14ac:dyDescent="0.2">
      <c r="C28" s="37">
        <f ca="1">IF(DAY(ЯнуНед1)=1,IF(AND(YEAR(ЯнуНед1+8)=CalendarYear,MONTH(ЯнуНед1+8)=1),ЯнуНед1+8,""),IF(AND(YEAR(ЯнуНед1+15)=CalendarYear,MONTH(ЯнуНед1+15)=1),ЯнуНед1+15,""))</f>
        <v>43479</v>
      </c>
      <c r="D28" s="37">
        <f ca="1">IF(DAY(ЯнуНед1)=1,IF(AND(YEAR(ЯнуНед1+9)=CalendarYear,MONTH(ЯнуНед1+9)=1),ЯнуНед1+9,""),IF(AND(YEAR(ЯнуНед1+16)=CalendarYear,MONTH(ЯнуНед1+16)=1),ЯнуНед1+16,""))</f>
        <v>43480</v>
      </c>
      <c r="E28" s="37">
        <f ca="1">IF(DAY(ЯнуНед1)=1,IF(AND(YEAR(ЯнуНед1+10)=CalendarYear,MONTH(ЯнуНед1+10)=1),ЯнуНед1+10,""),IF(AND(YEAR(ЯнуНед1+17)=CalendarYear,MONTH(ЯнуНед1+17)=1),ЯнуНед1+17,""))</f>
        <v>43481</v>
      </c>
      <c r="F28" s="37">
        <f ca="1">IF(DAY(ЯнуНед1)=1,IF(AND(YEAR(ЯнуНед1+11)=CalendarYear,MONTH(ЯнуНед1+11)=1),ЯнуНед1+11,""),IF(AND(YEAR(ЯнуНед1+18)=CalendarYear,MONTH(ЯнуНед1+18)=1),ЯнуНед1+18,""))</f>
        <v>43482</v>
      </c>
      <c r="G28" s="37">
        <f ca="1">IF(DAY(ЯнуНед1)=1,IF(AND(YEAR(ЯнуНед1+12)=CalendarYear,MONTH(ЯнуНед1+12)=1),ЯнуНед1+12,""),IF(AND(YEAR(ЯнуНед1+19)=CalendarYear,MONTH(ЯнуНед1+19)=1),ЯнуНед1+19,""))</f>
        <v>43483</v>
      </c>
      <c r="H28" s="37">
        <f ca="1">IF(DAY(ЯнуНед1)=1,IF(AND(YEAR(ЯнуНед1+13)=CalendarYear,MONTH(ЯнуНед1+13)=1),ЯнуНед1+13,""),IF(AND(YEAR(ЯнуНед1+20)=CalendarYear,MONTH(ЯнуНед1+20)=1),ЯнуНед1+20,""))</f>
        <v>43484</v>
      </c>
      <c r="I28" s="37">
        <f ca="1">IF(DAY(ЯнуНед1)=1,IF(AND(YEAR(ЯнуНед1+14)=CalendarYear,MONTH(ЯнуНед1+14)=1),ЯнуНед1+14,""),IF(AND(YEAR(ЯнуНед1+21)=CalendarYear,MONTH(ЯнуНед1+21)=1),ЯнуНед1+21,""))</f>
        <v>43485</v>
      </c>
      <c r="J28" s="24"/>
      <c r="K28" s="23"/>
      <c r="L28" s="37">
        <f ca="1">IF(DAY(ФевНед1)=1,IF(AND(YEAR(ФевНед1+8)=CalendarYear,MONTH(ФевНед1+8)=2),ФевНед1+8,""),IF(AND(YEAR(ФевНед1+15)=CalendarYear,MONTH(ФевНед1+15)=2),ФевНед1+15,""))</f>
        <v>43507</v>
      </c>
      <c r="M28" s="37">
        <f ca="1">IF(DAY(ФевНед1)=1,IF(AND(YEAR(ФевНед1+9)=CalendarYear,MONTH(ФевНед1+9)=2),ФевНед1+9,""),IF(AND(YEAR(ФевНед1+16)=CalendarYear,MONTH(ФевНед1+16)=2),ФевНед1+16,""))</f>
        <v>43508</v>
      </c>
      <c r="N28" s="37">
        <f ca="1">IF(DAY(ФевНед1)=1,IF(AND(YEAR(ФевНед1+10)=CalendarYear,MONTH(ФевНед1+10)=2),ФевНед1+10,""),IF(AND(YEAR(ФевНед1+17)=CalendarYear,MONTH(ФевНед1+17)=2),ФевНед1+17,""))</f>
        <v>43509</v>
      </c>
      <c r="O28" s="37">
        <f ca="1">IF(DAY(ФевНед1)=1,IF(AND(YEAR(ФевНед1+11)=CalendarYear,MONTH(ФевНед1+11)=2),ФевНед1+11,""),IF(AND(YEAR(ФевНед1+18)=CalendarYear,MONTH(ФевНед1+18)=2),ФевНед1+18,""))</f>
        <v>43510</v>
      </c>
      <c r="P28" s="37">
        <f ca="1">IF(DAY(ФевНед1)=1,IF(AND(YEAR(ФевНед1+12)=CalendarYear,MONTH(ФевНед1+12)=2),ФевНед1+12,""),IF(AND(YEAR(ФевНед1+19)=CalendarYear,MONTH(ФевНед1+19)=2),ФевНед1+19,""))</f>
        <v>43511</v>
      </c>
      <c r="Q28" s="37">
        <f ca="1">IF(DAY(ФевНед1)=1,IF(AND(YEAR(ФевНед1+13)=CalendarYear,MONTH(ФевНед1+13)=2),ФевНед1+13,""),IF(AND(YEAR(ФевНед1+20)=CalendarYear,MONTH(ФевНед1+20)=2),ФевНед1+20,""))</f>
        <v>43512</v>
      </c>
      <c r="R28" s="37">
        <f ca="1">IF(DAY(ФевНед1)=1,IF(AND(YEAR(ФевНед1+14)=CalendarYear,MONTH(ФевНед1+14)=2),ФевНед1+14,""),IF(AND(YEAR(ФевНед1+21)=CalendarYear,MONTH(ФевНед1+21)=2),ФевНед1+21,""))</f>
        <v>43513</v>
      </c>
      <c r="S28" s="24"/>
      <c r="T28" s="28"/>
      <c r="U28" s="37">
        <f ca="1">IF(DAY(МарНед1)=1,IF(AND(YEAR(МарНед1+8)=CalendarYear,MONTH(МарНед1+8)=3),МарНед1+8,""),IF(AND(YEAR(МарНед1+15)=CalendarYear,MONTH(МарНед1+15)=3),МарНед1+15,""))</f>
        <v>43535</v>
      </c>
      <c r="V28" s="37">
        <f ca="1">IF(DAY(МарНед1)=1,IF(AND(YEAR(МарНед1+9)=CalendarYear,MONTH(МарНед1+9)=3),МарНед1+9,""),IF(AND(YEAR(МарНед1+16)=CalendarYear,MONTH(МарНед1+16)=3),МарНед1+16,""))</f>
        <v>43536</v>
      </c>
      <c r="W28" s="37">
        <f ca="1">IF(DAY(МарНед1)=1,IF(AND(YEAR(МарНед1+10)=CalendarYear,MONTH(МарНед1+10)=3),МарНед1+10,""),IF(AND(YEAR(МарНед1+17)=CalendarYear,MONTH(МарНед1+17)=3),МарНед1+17,""))</f>
        <v>43537</v>
      </c>
      <c r="X28" s="37">
        <f ca="1">IF(DAY(МарНед1)=1,IF(AND(YEAR(МарНед1+11)=CalendarYear,MONTH(МарНед1+11)=3),МарНед1+11,""),IF(AND(YEAR(МарНед1+18)=CalendarYear,MONTH(МарНед1+18)=3),МарНед1+18,""))</f>
        <v>43538</v>
      </c>
      <c r="Y28" s="37">
        <f ca="1">IF(DAY(МарНед1)=1,IF(AND(YEAR(МарНед1+12)=CalendarYear,MONTH(МарНед1+12)=3),МарНед1+12,""),IF(AND(YEAR(МарНед1+19)=CalendarYear,MONTH(МарНед1+19)=3),МарНед1+19,""))</f>
        <v>43539</v>
      </c>
      <c r="Z28" s="37">
        <f ca="1">IF(DAY(МарНед1)=1,IF(AND(YEAR(МарНед1+13)=CalendarYear,MONTH(МарНед1+13)=3),МарНед1+13,""),IF(AND(YEAR(МарНед1+20)=CalendarYear,MONTH(МарНед1+20)=3),МарНед1+20,""))</f>
        <v>43540</v>
      </c>
      <c r="AA28" s="37">
        <f ca="1">IF(DAY(МарНед1)=1,IF(AND(YEAR(МарНед1+14)=CalendarYear,MONTH(МарНед1+14)=3),МарНед1+14,""),IF(AND(YEAR(МарНед1+21)=CalendarYear,MONTH(МарНед1+21)=3),МарНед1+21,""))</f>
        <v>43541</v>
      </c>
      <c r="AB28" s="24"/>
      <c r="AC28" s="23"/>
      <c r="AD28" s="37">
        <f ca="1">IF(DAY(АпрНед1)=1,IF(AND(YEAR(АпрНед1+8)=CalendarYear,MONTH(АпрНед1+8)=4),АпрНед1+8,""),IF(AND(YEAR(АпрНед1+15)=CalendarYear,MONTH(АпрНед1+15)=4),АпрНед1+15,""))</f>
        <v>43570</v>
      </c>
      <c r="AE28" s="37">
        <f ca="1">IF(DAY(АпрНед1)=1,IF(AND(YEAR(АпрНед1+9)=CalendarYear,MONTH(АпрНед1+9)=4),АпрНед1+9,""),IF(AND(YEAR(АпрНед1+16)=CalendarYear,MONTH(АпрНед1+16)=4),АпрНед1+16,""))</f>
        <v>43571</v>
      </c>
      <c r="AF28" s="37">
        <f ca="1">IF(DAY(АпрНед1)=1,IF(AND(YEAR(АпрНед1+10)=CalendarYear,MONTH(АпрНед1+10)=4),АпрНед1+10,""),IF(AND(YEAR(АпрНед1+17)=CalendarYear,MONTH(АпрНед1+17)=4),АпрНед1+17,""))</f>
        <v>43572</v>
      </c>
      <c r="AG28" s="37">
        <f ca="1">IF(DAY(АпрНед1)=1,IF(AND(YEAR(АпрНед1+11)=CalendarYear,MONTH(АпрНед1+11)=4),АпрНед1+11,""),IF(AND(YEAR(АпрНед1+18)=CalendarYear,MONTH(АпрНед1+18)=4),АпрНед1+18,""))</f>
        <v>43573</v>
      </c>
      <c r="AH28" s="37">
        <f ca="1">IF(DAY(АпрНед1)=1,IF(AND(YEAR(АпрНед1+12)=CalendarYear,MONTH(АпрНед1+12)=4),АпрНед1+12,""),IF(AND(YEAR(АпрНед1+19)=CalendarYear,MONTH(АпрНед1+19)=4),АпрНед1+19,""))</f>
        <v>43574</v>
      </c>
      <c r="AI28" s="37">
        <f ca="1">IF(DAY(АпрНед1)=1,IF(AND(YEAR(АпрНед1+13)=CalendarYear,MONTH(АпрНед1+13)=4),АпрНед1+13,""),IF(AND(YEAR(АпрНед1+20)=CalendarYear,MONTH(АпрНед1+20)=4),АпрНед1+20,""))</f>
        <v>43575</v>
      </c>
      <c r="AJ28" s="37">
        <f ca="1">IF(DAY(АпрНед1)=1,IF(AND(YEAR(АпрНед1+14)=CalendarYear,MONTH(АпрНед1+14)=4),АпрНед1+14,""),IF(AND(YEAR(АпрНед1+21)=CalendarYear,MONTH(АпрНед1+21)=4),АпрНед1+21,""))</f>
        <v>43576</v>
      </c>
    </row>
    <row r="29" spans="1:37" x14ac:dyDescent="0.2">
      <c r="C29" s="37">
        <f ca="1">IF(DAY(ЯнуНед1)=1,IF(AND(YEAR(ЯнуНед1+15)=CalendarYear,MONTH(ЯнуНед1+15)=1),ЯнуНед1+15,""),IF(AND(YEAR(ЯнуНед1+22)=CalendarYear,MONTH(ЯнуНед1+22)=1),ЯнуНед1+22,""))</f>
        <v>43486</v>
      </c>
      <c r="D29" s="37">
        <f ca="1">IF(DAY(ЯнуНед1)=1,IF(AND(YEAR(ЯнуНед1+16)=CalendarYear,MONTH(ЯнуНед1+16)=1),ЯнуНед1+16,""),IF(AND(YEAR(ЯнуНед1+23)=CalendarYear,MONTH(ЯнуНед1+23)=1),ЯнуНед1+23,""))</f>
        <v>43487</v>
      </c>
      <c r="E29" s="37">
        <f ca="1">IF(DAY(ЯнуНед1)=1,IF(AND(YEAR(ЯнуНед1+17)=CalendarYear,MONTH(ЯнуНед1+17)=1),ЯнуНед1+17,""),IF(AND(YEAR(ЯнуНед1+24)=CalendarYear,MONTH(ЯнуНед1+24)=1),ЯнуНед1+24,""))</f>
        <v>43488</v>
      </c>
      <c r="F29" s="37">
        <f ca="1">IF(DAY(ЯнуНед1)=1,IF(AND(YEAR(ЯнуНед1+18)=CalendarYear,MONTH(ЯнуНед1+18)=1),ЯнуНед1+18,""),IF(AND(YEAR(ЯнуНед1+25)=CalendarYear,MONTH(ЯнуНед1+25)=1),ЯнуНед1+25,""))</f>
        <v>43489</v>
      </c>
      <c r="G29" s="37">
        <f ca="1">IF(DAY(ЯнуНед1)=1,IF(AND(YEAR(ЯнуНед1+19)=CalendarYear,MONTH(ЯнуНед1+19)=1),ЯнуНед1+19,""),IF(AND(YEAR(ЯнуНед1+26)=CalendarYear,MONTH(ЯнуНед1+26)=1),ЯнуНед1+26,""))</f>
        <v>43490</v>
      </c>
      <c r="H29" s="37">
        <f ca="1">IF(DAY(ЯнуНед1)=1,IF(AND(YEAR(ЯнуНед1+20)=CalendarYear,MONTH(ЯнуНед1+20)=1),ЯнуНед1+20,""),IF(AND(YEAR(ЯнуНед1+27)=CalendarYear,MONTH(ЯнуНед1+27)=1),ЯнуНед1+27,""))</f>
        <v>43491</v>
      </c>
      <c r="I29" s="37">
        <f ca="1">IF(DAY(ЯнуНед1)=1,IF(AND(YEAR(ЯнуНед1+21)=CalendarYear,MONTH(ЯнуНед1+21)=1),ЯнуНед1+21,""),IF(AND(YEAR(ЯнуНед1+28)=CalendarYear,MONTH(ЯнуНед1+28)=1),ЯнуНед1+28,""))</f>
        <v>43492</v>
      </c>
      <c r="J29" s="24"/>
      <c r="K29" s="23"/>
      <c r="L29" s="37">
        <f ca="1">IF(DAY(ФевНед1)=1,IF(AND(YEAR(ФевНед1+15)=CalendarYear,MONTH(ФевНед1+15)=2),ФевНед1+15,""),IF(AND(YEAR(ФевНед1+22)=CalendarYear,MONTH(ФевНед1+22)=2),ФевНед1+22,""))</f>
        <v>43514</v>
      </c>
      <c r="M29" s="37">
        <f ca="1">IF(DAY(ФевНед1)=1,IF(AND(YEAR(ФевНед1+16)=CalendarYear,MONTH(ФевНед1+16)=2),ФевНед1+16,""),IF(AND(YEAR(ФевНед1+23)=CalendarYear,MONTH(ФевНед1+23)=2),ФевНед1+23,""))</f>
        <v>43515</v>
      </c>
      <c r="N29" s="37">
        <f ca="1">IF(DAY(ФевНед1)=1,IF(AND(YEAR(ФевНед1+17)=CalendarYear,MONTH(ФевНед1+17)=2),ФевНед1+17,""),IF(AND(YEAR(ФевНед1+24)=CalendarYear,MONTH(ФевНед1+24)=2),ФевНед1+24,""))</f>
        <v>43516</v>
      </c>
      <c r="O29" s="37">
        <f ca="1">IF(DAY(ФевНед1)=1,IF(AND(YEAR(ФевНед1+18)=CalendarYear,MONTH(ФевНед1+18)=2),ФевНед1+18,""),IF(AND(YEAR(ФевНед1+25)=CalendarYear,MONTH(ФевНед1+25)=2),ФевНед1+25,""))</f>
        <v>43517</v>
      </c>
      <c r="P29" s="37">
        <f ca="1">IF(DAY(ФевНед1)=1,IF(AND(YEAR(ФевНед1+19)=CalendarYear,MONTH(ФевНед1+19)=2),ФевНед1+19,""),IF(AND(YEAR(ФевНед1+26)=CalendarYear,MONTH(ФевНед1+26)=2),ФевНед1+26,""))</f>
        <v>43518</v>
      </c>
      <c r="Q29" s="37">
        <f ca="1">IF(DAY(ФевНед1)=1,IF(AND(YEAR(ФевНед1+20)=CalendarYear,MONTH(ФевНед1+20)=2),ФевНед1+20,""),IF(AND(YEAR(ФевНед1+27)=CalendarYear,MONTH(ФевНед1+27)=2),ФевНед1+27,""))</f>
        <v>43519</v>
      </c>
      <c r="R29" s="37">
        <f ca="1">IF(DAY(ФевНед1)=1,IF(AND(YEAR(ФевНед1+21)=CalendarYear,MONTH(ФевНед1+21)=2),ФевНед1+21,""),IF(AND(YEAR(ФевНед1+28)=CalendarYear,MONTH(ФевНед1+28)=2),ФевНед1+28,""))</f>
        <v>43520</v>
      </c>
      <c r="S29" s="24"/>
      <c r="T29" s="28"/>
      <c r="U29" s="37">
        <f ca="1">IF(DAY(МарНед1)=1,IF(AND(YEAR(МарНед1+15)=CalendarYear,MONTH(МарНед1+15)=3),МарНед1+15,""),IF(AND(YEAR(МарНед1+22)=CalendarYear,MONTH(МарНед1+22)=3),МарНед1+22,""))</f>
        <v>43542</v>
      </c>
      <c r="V29" s="37">
        <f ca="1">IF(DAY(МарНед1)=1,IF(AND(YEAR(МарНед1+16)=CalendarYear,MONTH(МарНед1+16)=3),МарНед1+16,""),IF(AND(YEAR(МарНед1+23)=CalendarYear,MONTH(МарНед1+23)=3),МарНед1+23,""))</f>
        <v>43543</v>
      </c>
      <c r="W29" s="37">
        <f ca="1">IF(DAY(МарНед1)=1,IF(AND(YEAR(МарНед1+17)=CalendarYear,MONTH(МарНед1+17)=3),МарНед1+17,""),IF(AND(YEAR(МарНед1+24)=CalendarYear,MONTH(МарНед1+24)=3),МарНед1+24,""))</f>
        <v>43544</v>
      </c>
      <c r="X29" s="37">
        <f ca="1">IF(DAY(МарНед1)=1,IF(AND(YEAR(МарНед1+18)=CalendarYear,MONTH(МарНед1+18)=3),МарНед1+18,""),IF(AND(YEAR(МарНед1+25)=CalendarYear,MONTH(МарНед1+25)=3),МарНед1+25,""))</f>
        <v>43545</v>
      </c>
      <c r="Y29" s="37">
        <f ca="1">IF(DAY(МарНед1)=1,IF(AND(YEAR(МарНед1+19)=CalendarYear,MONTH(МарНед1+19)=3),МарНед1+19,""),IF(AND(YEAR(МарНед1+26)=CalendarYear,MONTH(МарНед1+26)=3),МарНед1+26,""))</f>
        <v>43546</v>
      </c>
      <c r="Z29" s="37">
        <f ca="1">IF(DAY(МарНед1)=1,IF(AND(YEAR(МарНед1+20)=CalendarYear,MONTH(МарНед1+20)=3),МарНед1+20,""),IF(AND(YEAR(МарНед1+27)=CalendarYear,MONTH(МарНед1+27)=3),МарНед1+27,""))</f>
        <v>43547</v>
      </c>
      <c r="AA29" s="37">
        <f ca="1">IF(DAY(МарНед1)=1,IF(AND(YEAR(МарНед1+21)=CalendarYear,MONTH(МарНед1+21)=3),МарНед1+21,""),IF(AND(YEAR(МарНед1+28)=CalendarYear,MONTH(МарНед1+28)=3),МарНед1+28,""))</f>
        <v>43548</v>
      </c>
      <c r="AB29" s="24"/>
      <c r="AC29" s="23"/>
      <c r="AD29" s="37">
        <f ca="1">IF(DAY(АпрНед1)=1,IF(AND(YEAR(АпрНед1+15)=CalendarYear,MONTH(АпрНед1+15)=4),АпрНед1+15,""),IF(AND(YEAR(АпрНед1+22)=CalendarYear,MONTH(АпрНед1+22)=4),АпрНед1+22,""))</f>
        <v>43577</v>
      </c>
      <c r="AE29" s="37">
        <f ca="1">IF(DAY(АпрНед1)=1,IF(AND(YEAR(АпрНед1+16)=CalendarYear,MONTH(АпрНед1+16)=4),АпрНед1+16,""),IF(AND(YEAR(АпрНед1+23)=CalendarYear,MONTH(АпрНед1+23)=4),АпрНед1+23,""))</f>
        <v>43578</v>
      </c>
      <c r="AF29" s="37">
        <f ca="1">IF(DAY(АпрНед1)=1,IF(AND(YEAR(АпрНед1+17)=CalendarYear,MONTH(АпрНед1+17)=4),АпрНед1+17,""),IF(AND(YEAR(АпрНед1+24)=CalendarYear,MONTH(АпрНед1+24)=4),АпрНед1+24,""))</f>
        <v>43579</v>
      </c>
      <c r="AG29" s="37">
        <f ca="1">IF(DAY(АпрНед1)=1,IF(AND(YEAR(АпрНед1+18)=CalendarYear,MONTH(АпрНед1+18)=4),АпрНед1+18,""),IF(AND(YEAR(АпрНед1+25)=CalendarYear,MONTH(АпрНед1+25)=4),АпрНед1+25,""))</f>
        <v>43580</v>
      </c>
      <c r="AH29" s="37">
        <f ca="1">IF(DAY(АпрНед1)=1,IF(AND(YEAR(АпрНед1+19)=CalendarYear,MONTH(АпрНед1+19)=4),АпрНед1+19,""),IF(AND(YEAR(АпрНед1+26)=CalendarYear,MONTH(АпрНед1+26)=4),АпрНед1+26,""))</f>
        <v>43581</v>
      </c>
      <c r="AI29" s="37">
        <f ca="1">IF(DAY(АпрНед1)=1,IF(AND(YEAR(АпрНед1+20)=CalendarYear,MONTH(АпрНед1+20)=4),АпрНед1+20,""),IF(AND(YEAR(АпрНед1+27)=CalendarYear,MONTH(АпрНед1+27)=4),АпрНед1+27,""))</f>
        <v>43582</v>
      </c>
      <c r="AJ29" s="37">
        <f ca="1">IF(DAY(АпрНед1)=1,IF(AND(YEAR(АпрНед1+21)=CalendarYear,MONTH(АпрНед1+21)=4),АпрНед1+21,""),IF(AND(YEAR(АпрНед1+28)=CalendarYear,MONTH(АпрНед1+28)=4),АпрНед1+28,""))</f>
        <v>43583</v>
      </c>
    </row>
    <row r="30" spans="1:37" x14ac:dyDescent="0.2">
      <c r="C30" s="37">
        <f ca="1">IF(DAY(ЯнуНед1)=1,IF(AND(YEAR(ЯнуНед1+22)=CalendarYear,MONTH(ЯнуНед1+22)=1),ЯнуНед1+22,""),IF(AND(YEAR(ЯнуНед1+29)=CalendarYear,MONTH(ЯнуНед1+29)=1),ЯнуНед1+29,""))</f>
        <v>43493</v>
      </c>
      <c r="D30" s="37">
        <f ca="1">IF(DAY(ЯнуНед1)=1,IF(AND(YEAR(ЯнуНед1+23)=CalendarYear,MONTH(ЯнуНед1+23)=1),ЯнуНед1+23,""),IF(AND(YEAR(ЯнуНед1+30)=CalendarYear,MONTH(ЯнуНед1+30)=1),ЯнуНед1+30,""))</f>
        <v>43494</v>
      </c>
      <c r="E30" s="37">
        <f ca="1">IF(DAY(ЯнуНед1)=1,IF(AND(YEAR(ЯнуНед1+24)=CalendarYear,MONTH(ЯнуНед1+24)=1),ЯнуНед1+24,""),IF(AND(YEAR(ЯнуНед1+31)=CalendarYear,MONTH(ЯнуНед1+31)=1),ЯнуНед1+31,""))</f>
        <v>43495</v>
      </c>
      <c r="F30" s="37">
        <f ca="1">IF(DAY(ЯнуНед1)=1,IF(AND(YEAR(ЯнуНед1+25)=CalendarYear,MONTH(ЯнуНед1+25)=1),ЯнуНед1+25,""),IF(AND(YEAR(ЯнуНед1+32)=CalendarYear,MONTH(ЯнуНед1+32)=1),ЯнуНед1+32,""))</f>
        <v>43496</v>
      </c>
      <c r="G30" s="37" t="str">
        <f ca="1">IF(DAY(ЯнуНед1)=1,IF(AND(YEAR(ЯнуНед1+26)=CalendarYear,MONTH(ЯнуНед1+26)=1),ЯнуНед1+26,""),IF(AND(YEAR(ЯнуНед1+33)=CalendarYear,MONTH(ЯнуНед1+33)=1),ЯнуНед1+33,""))</f>
        <v/>
      </c>
      <c r="H30" s="37" t="str">
        <f ca="1">IF(DAY(ЯнуНед1)=1,IF(AND(YEAR(ЯнуНед1+27)=CalendarYear,MONTH(ЯнуНед1+27)=1),ЯнуНед1+27,""),IF(AND(YEAR(ЯнуНед1+34)=CalendarYear,MONTH(ЯнуНед1+34)=1),ЯнуНед1+34,""))</f>
        <v/>
      </c>
      <c r="I30" s="37" t="str">
        <f ca="1">IF(DAY(ЯнуНед1)=1,IF(AND(YEAR(ЯнуНед1+28)=CalendarYear,MONTH(ЯнуНед1+28)=1),ЯнуНед1+28,""),IF(AND(YEAR(ЯнуНед1+35)=CalendarYear,MONTH(ЯнуНед1+35)=1),ЯнуНед1+35,""))</f>
        <v/>
      </c>
      <c r="J30" s="24"/>
      <c r="K30" s="23"/>
      <c r="L30" s="37">
        <f ca="1">IF(DAY(ФевНед1)=1,IF(AND(YEAR(ФевНед1+22)=CalendarYear,MONTH(ФевНед1+22)=2),ФевНед1+22,""),IF(AND(YEAR(ФевНед1+29)=CalendarYear,MONTH(ФевНед1+29)=2),ФевНед1+29,""))</f>
        <v>43521</v>
      </c>
      <c r="M30" s="37">
        <f ca="1">IF(DAY(ФевНед1)=1,IF(AND(YEAR(ФевНед1+23)=CalendarYear,MONTH(ФевНед1+23)=2),ФевНед1+23,""),IF(AND(YEAR(ФевНед1+30)=CalendarYear,MONTH(ФевНед1+30)=2),ФевНед1+30,""))</f>
        <v>43522</v>
      </c>
      <c r="N30" s="37">
        <f ca="1">IF(DAY(ФевНед1)=1,IF(AND(YEAR(ФевНед1+24)=CalendarYear,MONTH(ФевНед1+24)=2),ФевНед1+24,""),IF(AND(YEAR(ФевНед1+31)=CalendarYear,MONTH(ФевНед1+31)=2),ФевНед1+31,""))</f>
        <v>43523</v>
      </c>
      <c r="O30" s="37">
        <f ca="1">IF(DAY(ФевНед1)=1,IF(AND(YEAR(ФевНед1+25)=CalendarYear,MONTH(ФевНед1+25)=2),ФевНед1+25,""),IF(AND(YEAR(ФевНед1+32)=CalendarYear,MONTH(ФевНед1+32)=2),ФевНед1+32,""))</f>
        <v>43524</v>
      </c>
      <c r="P30" s="37" t="str">
        <f ca="1">IF(DAY(ФевНед1)=1,IF(AND(YEAR(ФевНед1+26)=CalendarYear,MONTH(ФевНед1+26)=2),ФевНед1+26,""),IF(AND(YEAR(ФевНед1+33)=CalendarYear,MONTH(ФевНед1+33)=2),ФевНед1+33,""))</f>
        <v/>
      </c>
      <c r="Q30" s="37" t="str">
        <f ca="1">IF(DAY(ФевНед1)=1,IF(AND(YEAR(ФевНед1+27)=CalendarYear,MONTH(ФевНед1+27)=2),ФевНед1+27,""),IF(AND(YEAR(ФевНед1+34)=CalendarYear,MONTH(ФевНед1+34)=2),ФевНед1+34,""))</f>
        <v/>
      </c>
      <c r="R30" s="37" t="str">
        <f ca="1">IF(DAY(ФевНед1)=1,IF(AND(YEAR(ФевНед1+28)=CalendarYear,MONTH(ФевНед1+28)=2),ФевНед1+28,""),IF(AND(YEAR(ФевНед1+35)=CalendarYear,MONTH(ФевНед1+35)=2),ФевНед1+35,""))</f>
        <v/>
      </c>
      <c r="S30" s="24"/>
      <c r="T30" s="28"/>
      <c r="U30" s="37">
        <f ca="1">IF(DAY(МарНед1)=1,IF(AND(YEAR(МарНед1+22)=CalendarYear,MONTH(МарНед1+22)=3),МарНед1+22,""),IF(AND(YEAR(МарНед1+29)=CalendarYear,MONTH(МарНед1+29)=3),МарНед1+29,""))</f>
        <v>43549</v>
      </c>
      <c r="V30" s="37">
        <f ca="1">IF(DAY(МарНед1)=1,IF(AND(YEAR(МарНед1+23)=CalendarYear,MONTH(МарНед1+23)=3),МарНед1+23,""),IF(AND(YEAR(МарНед1+30)=CalendarYear,MONTH(МарНед1+30)=3),МарНед1+30,""))</f>
        <v>43550</v>
      </c>
      <c r="W30" s="37">
        <f ca="1">IF(DAY(МарНед1)=1,IF(AND(YEAR(МарНед1+24)=CalendarYear,MONTH(МарНед1+24)=3),МарНед1+24,""),IF(AND(YEAR(МарНед1+31)=CalendarYear,MONTH(МарНед1+31)=3),МарНед1+31,""))</f>
        <v>43551</v>
      </c>
      <c r="X30" s="37">
        <f ca="1">IF(DAY(МарНед1)=1,IF(AND(YEAR(МарНед1+25)=CalendarYear,MONTH(МарНед1+25)=3),МарНед1+25,""),IF(AND(YEAR(МарНед1+32)=CalendarYear,MONTH(МарНед1+32)=3),МарНед1+32,""))</f>
        <v>43552</v>
      </c>
      <c r="Y30" s="37">
        <f ca="1">IF(DAY(МарНед1)=1,IF(AND(YEAR(МарНед1+26)=CalendarYear,MONTH(МарНед1+26)=3),МарНед1+26,""),IF(AND(YEAR(МарНед1+33)=CalendarYear,MONTH(МарНед1+33)=3),МарНед1+33,""))</f>
        <v>43553</v>
      </c>
      <c r="Z30" s="37">
        <f ca="1">IF(DAY(МарНед1)=1,IF(AND(YEAR(МарНед1+27)=CalendarYear,MONTH(МарНед1+27)=3),МарНед1+27,""),IF(AND(YEAR(МарНед1+34)=CalendarYear,MONTH(МарНед1+34)=3),МарНед1+34,""))</f>
        <v>43554</v>
      </c>
      <c r="AA30" s="37">
        <f ca="1">IF(DAY(МарНед1)=1,IF(AND(YEAR(МарНед1+28)=CalendarYear,MONTH(МарНед1+28)=3),МарНед1+28,""),IF(AND(YEAR(МарНед1+35)=CalendarYear,MONTH(МарНед1+35)=3),МарНед1+35,""))</f>
        <v>43555</v>
      </c>
      <c r="AB30" s="24"/>
      <c r="AC30" s="23"/>
      <c r="AD30" s="37">
        <f ca="1">IF(DAY(АпрНед1)=1,IF(AND(YEAR(АпрНед1+22)=CalendarYear,MONTH(АпрНед1+22)=4),АпрНед1+22,""),IF(AND(YEAR(АпрНед1+29)=CalendarYear,MONTH(АпрНед1+29)=4),АпрНед1+29,""))</f>
        <v>43584</v>
      </c>
      <c r="AE30" s="37">
        <f ca="1">IF(DAY(АпрНед1)=1,IF(AND(YEAR(АпрНед1+23)=CalendarYear,MONTH(АпрНед1+23)=4),АпрНед1+23,""),IF(AND(YEAR(АпрНед1+30)=CalendarYear,MONTH(АпрНед1+30)=4),АпрНед1+30,""))</f>
        <v>43585</v>
      </c>
      <c r="AF30" s="37" t="str">
        <f ca="1">IF(DAY(АпрНед1)=1,IF(AND(YEAR(АпрНед1+24)=CalendarYear,MONTH(АпрНед1+24)=4),АпрНед1+24,""),IF(AND(YEAR(АпрНед1+31)=CalendarYear,MONTH(АпрНед1+31)=4),АпрНед1+31,""))</f>
        <v/>
      </c>
      <c r="AG30" s="37" t="str">
        <f ca="1">IF(DAY(АпрНед1)=1,IF(AND(YEAR(АпрНед1+25)=CalendarYear,MONTH(АпрНед1+25)=4),АпрНед1+25,""),IF(AND(YEAR(АпрНед1+32)=CalendarYear,MONTH(АпрНед1+32)=4),АпрНед1+32,""))</f>
        <v/>
      </c>
      <c r="AH30" s="37" t="str">
        <f ca="1">IF(DAY(АпрНед1)=1,IF(AND(YEAR(АпрНед1+26)=CalendarYear,MONTH(АпрНед1+26)=4),АпрНед1+26,""),IF(AND(YEAR(АпрНед1+33)=CalendarYear,MONTH(АпрНед1+33)=4),АпрНед1+33,""))</f>
        <v/>
      </c>
      <c r="AI30" s="37" t="str">
        <f ca="1">IF(DAY(АпрНед1)=1,IF(AND(YEAR(АпрНед1+27)=CalendarYear,MONTH(АпрНед1+27)=4),АпрНед1+27,""),IF(AND(YEAR(АпрНед1+34)=CalendarYear,MONTH(АпрНед1+34)=4),АпрНед1+34,""))</f>
        <v/>
      </c>
      <c r="AJ30" s="37" t="str">
        <f ca="1">IF(DAY(АпрНед1)=1,IF(AND(YEAR(АпрНед1+28)=CalendarYear,MONTH(АпрНед1+28)=4),АпрНед1+28,""),IF(AND(YEAR(АпрНед1+35)=CalendarYear,MONTH(АпрНед1+35)=4),АпрНед1+35,""))</f>
        <v/>
      </c>
    </row>
    <row r="31" spans="1:37" x14ac:dyDescent="0.2">
      <c r="C31" s="37" t="str">
        <f ca="1">IF(DAY(ЯнуНед1)=1,IF(AND(YEAR(ЯнуНед1+29)=CalendarYear,MONTH(ЯнуНед1+29)=1),ЯнуНед1+29,""),IF(AND(YEAR(ЯнуНед1+36)=CalendarYear,MONTH(ЯнуНед1+36)=1),ЯнуНед1+36,""))</f>
        <v/>
      </c>
      <c r="D31" s="37" t="str">
        <f ca="1">IF(DAY(ЯнуНед1)=1,IF(AND(YEAR(ЯнуНед1+30)=CalendarYear,MONTH(ЯнуНед1+30)=1),ЯнуНед1+30,""),IF(AND(YEAR(ЯнуНед1+37)=CalendarYear,MONTH(ЯнуНед1+37)=1),ЯнуНед1+37,""))</f>
        <v/>
      </c>
      <c r="E31" s="37" t="str">
        <f ca="1">IF(DAY(ЯнуНед1)=1,IF(AND(YEAR(ЯнуНед1+31)=CalendarYear,MONTH(ЯнуНед1+31)=1),ЯнуНед1+31,""),IF(AND(YEAR(ЯнуНед1+38)=CalendarYear,MONTH(ЯнуНед1+38)=1),ЯнуНед1+38,""))</f>
        <v/>
      </c>
      <c r="F31" s="37" t="str">
        <f ca="1">IF(DAY(ЯнуНед1)=1,IF(AND(YEAR(ЯнуНед1+32)=CalendarYear,MONTH(ЯнуНед1+32)=1),ЯнуНед1+32,""),IF(AND(YEAR(ЯнуНед1+39)=CalendarYear,MONTH(ЯнуНед1+39)=1),ЯнуНед1+39,""))</f>
        <v/>
      </c>
      <c r="G31" s="37" t="str">
        <f ca="1">IF(DAY(ЯнуНед1)=1,IF(AND(YEAR(ЯнуНед1+33)=CalendarYear,MONTH(ЯнуНед1+33)=1),ЯнуНед1+33,""),IF(AND(YEAR(ЯнуНед1+40)=CalendarYear,MONTH(ЯнуНед1+40)=1),ЯнуНед1+40,""))</f>
        <v/>
      </c>
      <c r="H31" s="37" t="str">
        <f ca="1">IF(DAY(ЯнуНед1)=1,IF(AND(YEAR(ЯнуНед1+34)=CalendarYear,MONTH(ЯнуНед1+34)=1),ЯнуНед1+34,""),IF(AND(YEAR(ЯнуНед1+41)=CalendarYear,MONTH(ЯнуНед1+41)=1),ЯнуНед1+41,""))</f>
        <v/>
      </c>
      <c r="I31" s="37" t="str">
        <f ca="1">IF(DAY(ЯнуНед1)=1,IF(AND(YEAR(ЯнуНед1+35)=CalendarYear,MONTH(ЯнуНед1+35)=1),ЯнуНед1+35,""),IF(AND(YEAR(ЯнуНед1+42)=CalendarYear,MONTH(ЯнуНед1+42)=1),ЯнуНед1+42,""))</f>
        <v/>
      </c>
      <c r="J31" s="24"/>
      <c r="K31" s="23"/>
      <c r="L31" s="37" t="str">
        <f ca="1">IF(DAY(ФевНед1)=1,IF(AND(YEAR(ФевНед1+29)=CalendarYear,MONTH(ФевНед1+29)=2),ФевНед1+29,""),IF(AND(YEAR(ФевНед1+36)=CalendarYear,MONTH(ФевНед1+36)=2),ФевНед1+36,""))</f>
        <v/>
      </c>
      <c r="M31" s="37" t="str">
        <f ca="1">IF(DAY(ФевНед1)=1,IF(AND(YEAR(ФевНед1+30)=CalendarYear,MONTH(ФевНед1+30)=2),ФевНед1+30,""),IF(AND(YEAR(ФевНед1+37)=CalendarYear,MONTH(ФевНед1+37)=2),ФевНед1+37,""))</f>
        <v/>
      </c>
      <c r="N31" s="37" t="str">
        <f ca="1">IF(DAY(ФевНед1)=1,IF(AND(YEAR(ФевНед1+31)=CalendarYear,MONTH(ФевНед1+31)=2),ФевНед1+31,""),IF(AND(YEAR(ФевНед1+38)=CalendarYear,MONTH(ФевНед1+38)=2),ФевНед1+38,""))</f>
        <v/>
      </c>
      <c r="O31" s="37" t="str">
        <f ca="1">IF(DAY(ФевНед1)=1,IF(AND(YEAR(ФевНед1+32)=CalendarYear,MONTH(ФевНед1+32)=2),ФевНед1+32,""),IF(AND(YEAR(ФевНед1+39)=CalendarYear,MONTH(ФевНед1+39)=2),ФевНед1+39,""))</f>
        <v/>
      </c>
      <c r="P31" s="37" t="str">
        <f ca="1">IF(DAY(ФевНед1)=1,IF(AND(YEAR(ФевНед1+33)=CalendarYear,MONTH(ФевНед1+33)=2),ФевНед1+33,""),IF(AND(YEAR(ФевНед1+40)=CalendarYear,MONTH(ФевНед1+40)=2),ФевНед1+40,""))</f>
        <v/>
      </c>
      <c r="Q31" s="37" t="str">
        <f ca="1">IF(DAY(ФевНед1)=1,IF(AND(YEAR(ФевНед1+34)=CalendarYear,MONTH(ФевНед1+34)=2),ФевНед1+34,""),IF(AND(YEAR(ФевНед1+41)=CalendarYear,MONTH(ФевНед1+41)=2),ФевНед1+41,""))</f>
        <v/>
      </c>
      <c r="R31" s="37" t="str">
        <f ca="1">IF(DAY(ФевНед1)=1,IF(AND(YEAR(ФевНед1+35)=CalendarYear,MONTH(ФевНед1+35)=2),ФевНед1+35,""),IF(AND(YEAR(ФевНед1+42)=CalendarYear,MONTH(ФевНед1+42)=2),ФевНед1+42,""))</f>
        <v/>
      </c>
      <c r="S31" s="24"/>
      <c r="T31" s="28"/>
      <c r="U31" s="37" t="str">
        <f ca="1">IF(DAY(МарНед1)=1,IF(AND(YEAR(МарНед1+29)=CalendarYear,MONTH(МарНед1+29)=3),МарНед1+29,""),IF(AND(YEAR(МарНед1+36)=CalendarYear,MONTH(МарНед1+36)=3),МарНед1+36,""))</f>
        <v/>
      </c>
      <c r="V31" s="37" t="str">
        <f ca="1">IF(DAY(МарНед1)=1,IF(AND(YEAR(МарНед1+30)=CalendarYear,MONTH(МарНед1+30)=3),МарНед1+30,""),IF(AND(YEAR(МарНед1+37)=CalendarYear,MONTH(МарНед1+37)=3),МарНед1+37,""))</f>
        <v/>
      </c>
      <c r="W31" s="37" t="str">
        <f ca="1">IF(DAY(МарНед1)=1,IF(AND(YEAR(МарНед1+31)=CalendarYear,MONTH(МарНед1+31)=3),МарНед1+31,""),IF(AND(YEAR(МарНед1+38)=CalendarYear,MONTH(МарНед1+38)=3),МарНед1+38,""))</f>
        <v/>
      </c>
      <c r="X31" s="37" t="str">
        <f ca="1">IF(DAY(МарНед1)=1,IF(AND(YEAR(МарНед1+32)=CalendarYear,MONTH(МарНед1+32)=3),МарНед1+32,""),IF(AND(YEAR(МарНед1+39)=CalendarYear,MONTH(МарНед1+39)=3),МарНед1+39,""))</f>
        <v/>
      </c>
      <c r="Y31" s="37" t="str">
        <f ca="1">IF(DAY(МарНед1)=1,IF(AND(YEAR(МарНед1+33)=CalendarYear,MONTH(МарНед1+33)=3),МарНед1+33,""),IF(AND(YEAR(МарНед1+40)=CalendarYear,MONTH(МарНед1+40)=3),МарНед1+40,""))</f>
        <v/>
      </c>
      <c r="Z31" s="37" t="str">
        <f ca="1">IF(DAY(МарНед1)=1,IF(AND(YEAR(МарНед1+34)=CalendarYear,MONTH(МарНед1+34)=3),МарНед1+34,""),IF(AND(YEAR(МарНед1+41)=CalendarYear,MONTH(МарНед1+41)=3),МарНед1+41,""))</f>
        <v/>
      </c>
      <c r="AA31" s="37" t="str">
        <f ca="1">IF(DAY(МарНед1)=1,IF(AND(YEAR(МарНед1+35)=CalendarYear,MONTH(МарНед1+35)=3),МарНед1+35,""),IF(AND(YEAR(МарНед1+42)=CalendarYear,MONTH(МарНед1+42)=3),МарНед1+42,""))</f>
        <v/>
      </c>
      <c r="AB31" s="24"/>
      <c r="AC31" s="23"/>
      <c r="AD31" s="37" t="str">
        <f ca="1">IF(DAY(АпрНед1)=1,IF(AND(YEAR(АпрНед1+29)=CalendarYear,MONTH(АпрНед1+29)=4),АпрНед1+29,""),IF(AND(YEAR(АпрНед1+36)=CalendarYear,MONTH(АпрНед1+36)=4),АпрНед1+36,""))</f>
        <v/>
      </c>
      <c r="AE31" s="37" t="str">
        <f ca="1">IF(DAY(АпрНед1)=1,IF(AND(YEAR(АпрНед1+30)=CalendarYear,MONTH(АпрНед1+30)=4),АпрНед1+30,""),IF(AND(YEAR(АпрНед1+37)=CalendarYear,MONTH(АпрНед1+37)=4),АпрНед1+37,""))</f>
        <v/>
      </c>
      <c r="AF31" s="37" t="str">
        <f ca="1">IF(DAY(АпрНед1)=1,IF(AND(YEAR(АпрНед1+31)=CalendarYear,MONTH(АпрНед1+31)=4),АпрНед1+31,""),IF(AND(YEAR(АпрНед1+38)=CalendarYear,MONTH(АпрНед1+38)=4),АпрНед1+38,""))</f>
        <v/>
      </c>
      <c r="AG31" s="37" t="str">
        <f ca="1">IF(DAY(АпрНед1)=1,IF(AND(YEAR(АпрНед1+32)=CalendarYear,MONTH(АпрНед1+32)=4),АпрНед1+32,""),IF(AND(YEAR(АпрНед1+39)=CalendarYear,MONTH(АпрНед1+39)=4),АпрНед1+39,""))</f>
        <v/>
      </c>
      <c r="AH31" s="37" t="str">
        <f ca="1">IF(DAY(АпрНед1)=1,IF(AND(YEAR(АпрНед1+33)=CalendarYear,MONTH(АпрНед1+33)=4),АпрНед1+33,""),IF(AND(YEAR(АпрНед1+40)=CalendarYear,MONTH(АпрНед1+40)=4),АпрНед1+40,""))</f>
        <v/>
      </c>
      <c r="AI31" s="37" t="str">
        <f ca="1">IF(DAY(АпрНед1)=1,IF(AND(YEAR(АпрНед1+34)=CalendarYear,MONTH(АпрНед1+34)=4),АпрНед1+34,""),IF(AND(YEAR(АпрНед1+41)=CalendarYear,MONTH(АпрНед1+41)=4),АпрНед1+41,""))</f>
        <v/>
      </c>
      <c r="AJ31" s="37" t="str">
        <f ca="1">IF(DAY(АпрНед1)=1,IF(AND(YEAR(АпрНед1+35)=CalendarYear,MONTH(АпрНед1+35)=4),АпрНед1+35,""),IF(AND(YEAR(АпрНед1+42)=CalendarYear,MONTH(АпрНед1+42)=4),АпрНед1+42,""))</f>
        <v/>
      </c>
    </row>
    <row r="32" spans="1:37" x14ac:dyDescent="0.2">
      <c r="A32" s="28"/>
      <c r="B32" s="28"/>
      <c r="C32" s="23"/>
      <c r="D32" s="23"/>
      <c r="E32" s="23"/>
      <c r="F32" s="23"/>
      <c r="G32" s="23"/>
      <c r="H32" s="23"/>
      <c r="I32" s="23"/>
      <c r="J32" s="24"/>
      <c r="K32" s="23"/>
      <c r="L32" s="23"/>
      <c r="M32" s="23"/>
      <c r="N32" s="23"/>
      <c r="O32" s="23"/>
      <c r="P32" s="23"/>
      <c r="Q32" s="23"/>
      <c r="R32" s="23"/>
      <c r="S32" s="24"/>
      <c r="T32" s="28"/>
      <c r="U32" s="28"/>
      <c r="V32" s="28"/>
      <c r="W32" s="28"/>
      <c r="X32" s="28"/>
      <c r="Y32" s="28"/>
      <c r="Z32" s="28"/>
      <c r="AA32" s="28"/>
      <c r="AB32" s="29"/>
      <c r="AC32" s="28"/>
      <c r="AD32" s="28"/>
      <c r="AE32" s="28"/>
      <c r="AF32" s="28"/>
      <c r="AG32" s="28"/>
      <c r="AH32" s="28"/>
      <c r="AI32" s="28"/>
      <c r="AJ32" s="28"/>
    </row>
    <row r="33" spans="3:36" ht="15.75" x14ac:dyDescent="0.25">
      <c r="C33" s="46">
        <f ca="1">DATE(CalendarYear,5,1)</f>
        <v>43586</v>
      </c>
      <c r="D33" s="46"/>
      <c r="E33" s="46"/>
      <c r="F33" s="46"/>
      <c r="G33" s="46"/>
      <c r="H33" s="46"/>
      <c r="I33" s="46"/>
      <c r="J33" s="20"/>
      <c r="K33" s="23"/>
      <c r="L33" s="46">
        <f ca="1">DATE(CalendarYear,6,1)</f>
        <v>43617</v>
      </c>
      <c r="M33" s="46"/>
      <c r="N33" s="46"/>
      <c r="O33" s="46"/>
      <c r="P33" s="46"/>
      <c r="Q33" s="46"/>
      <c r="R33" s="46"/>
      <c r="S33" s="20"/>
      <c r="T33" s="28"/>
      <c r="U33" s="46">
        <f ca="1">DATE(CalendarYear,7,1)</f>
        <v>43647</v>
      </c>
      <c r="V33" s="46"/>
      <c r="W33" s="46"/>
      <c r="X33" s="46"/>
      <c r="Y33" s="46"/>
      <c r="Z33" s="46"/>
      <c r="AA33" s="46"/>
      <c r="AB33" s="20"/>
      <c r="AC33" s="23"/>
      <c r="AD33" s="46">
        <f ca="1">DATE(CalendarYear,8,1)</f>
        <v>43678</v>
      </c>
      <c r="AE33" s="46"/>
      <c r="AF33" s="46"/>
      <c r="AG33" s="46"/>
      <c r="AH33" s="46"/>
      <c r="AI33" s="46"/>
      <c r="AJ33" s="46"/>
    </row>
    <row r="34" spans="3:36" ht="15" x14ac:dyDescent="0.25">
      <c r="C34" s="36" t="s">
        <v>0</v>
      </c>
      <c r="D34" s="36" t="s">
        <v>4</v>
      </c>
      <c r="E34" s="36" t="s">
        <v>1</v>
      </c>
      <c r="F34" s="36" t="s">
        <v>5</v>
      </c>
      <c r="G34" s="36" t="s">
        <v>0</v>
      </c>
      <c r="H34" s="36" t="s">
        <v>1</v>
      </c>
      <c r="I34" s="36" t="s">
        <v>8</v>
      </c>
      <c r="J34" s="22"/>
      <c r="K34" s="25"/>
      <c r="L34" s="36" t="s">
        <v>0</v>
      </c>
      <c r="M34" s="36" t="s">
        <v>4</v>
      </c>
      <c r="N34" s="36" t="s">
        <v>1</v>
      </c>
      <c r="O34" s="36" t="s">
        <v>5</v>
      </c>
      <c r="P34" s="36" t="s">
        <v>0</v>
      </c>
      <c r="Q34" s="36" t="s">
        <v>1</v>
      </c>
      <c r="R34" s="36" t="s">
        <v>8</v>
      </c>
      <c r="S34" s="22"/>
      <c r="T34" s="28"/>
      <c r="U34" s="36" t="s">
        <v>0</v>
      </c>
      <c r="V34" s="36" t="s">
        <v>4</v>
      </c>
      <c r="W34" s="36" t="s">
        <v>1</v>
      </c>
      <c r="X34" s="36" t="s">
        <v>5</v>
      </c>
      <c r="Y34" s="36" t="s">
        <v>0</v>
      </c>
      <c r="Z34" s="36" t="s">
        <v>1</v>
      </c>
      <c r="AA34" s="36" t="s">
        <v>8</v>
      </c>
      <c r="AB34" s="22"/>
      <c r="AC34" s="23"/>
      <c r="AD34" s="36" t="s">
        <v>0</v>
      </c>
      <c r="AE34" s="36" t="s">
        <v>4</v>
      </c>
      <c r="AF34" s="36" t="s">
        <v>1</v>
      </c>
      <c r="AG34" s="36" t="s">
        <v>5</v>
      </c>
      <c r="AH34" s="36" t="s">
        <v>0</v>
      </c>
      <c r="AI34" s="36" t="s">
        <v>1</v>
      </c>
      <c r="AJ34" s="36" t="s">
        <v>8</v>
      </c>
    </row>
    <row r="35" spans="3:36" ht="15.75" x14ac:dyDescent="0.25">
      <c r="C35" s="37" t="str">
        <f ca="1">IF(DAY(МайНед1)=1,"",IF(AND(YEAR(МайНед1+1)=CalendarYear,MONTH(МайНед1+1)=5),МайНед1+1,""))</f>
        <v/>
      </c>
      <c r="D35" s="37" t="str">
        <f ca="1">IF(DAY(МайНед1)=1,"",IF(AND(YEAR(МайНед1+2)=CalendarYear,MONTH(МайНед1+2)=5),МайНед1+2,""))</f>
        <v/>
      </c>
      <c r="E35" s="37">
        <f ca="1">IF(DAY(МайНед1)=1,"",IF(AND(YEAR(МайНед1+3)=CalendarYear,MONTH(МайНед1+3)=5),МайНед1+3,""))</f>
        <v>43586</v>
      </c>
      <c r="F35" s="37">
        <f ca="1">IF(DAY(МайНед1)=1,"",IF(AND(YEAR(МайНед1+4)=CalendarYear,MONTH(МайНед1+4)=5),МайНед1+4,""))</f>
        <v>43587</v>
      </c>
      <c r="G35" s="37">
        <f ca="1">IF(DAY(МайНед1)=1,"",IF(AND(YEAR(МайНед1+5)=CalendarYear,MONTH(МайНед1+5)=5),МайНед1+5,""))</f>
        <v>43588</v>
      </c>
      <c r="H35" s="37">
        <f ca="1">IF(DAY(МайНед1)=1,"",IF(AND(YEAR(МайНед1+6)=CalendarYear,MONTH(МайНед1+6)=5),МайНед1+6,""))</f>
        <v>43589</v>
      </c>
      <c r="I35" s="37">
        <f ca="1">IF(DAY(МайНед1)=1,IF(AND(YEAR(МайНед1)=CalendarYear,MONTH(МайНед1)=5),МайНед1,""),IF(AND(YEAR(МайНед1+7)=CalendarYear,MONTH(МайНед1+7)=5),МайНед1+7,""))</f>
        <v>43590</v>
      </c>
      <c r="J35" s="24"/>
      <c r="K35" s="21"/>
      <c r="L35" s="37" t="str">
        <f ca="1">IF(DAY(ЮниНед1)=1,"",IF(AND(YEAR(ЮниНед1+1)=CalendarYear,MONTH(ЮниНед1+1)=6),ЮниНед1+1,""))</f>
        <v/>
      </c>
      <c r="M35" s="37" t="str">
        <f ca="1">IF(DAY(ЮниНед1)=1,"",IF(AND(YEAR(ЮниНед1+2)=CalendarYear,MONTH(ЮниНед1+2)=6),ЮниНед1+2,""))</f>
        <v/>
      </c>
      <c r="N35" s="37" t="str">
        <f ca="1">IF(DAY(ЮниНед1)=1,"",IF(AND(YEAR(ЮниНед1+3)=CalendarYear,MONTH(ЮниНед1+3)=6),ЮниНед1+3,""))</f>
        <v/>
      </c>
      <c r="O35" s="37" t="str">
        <f ca="1">IF(DAY(ЮниНед1)=1,"",IF(AND(YEAR(ЮниНед1+4)=CalendarYear,MONTH(ЮниНед1+4)=6),ЮниНед1+4,""))</f>
        <v/>
      </c>
      <c r="P35" s="37" t="str">
        <f ca="1">IF(DAY(ЮниНед1)=1,"",IF(AND(YEAR(ЮниНед1+5)=CalendarYear,MONTH(ЮниНед1+5)=6),ЮниНед1+5,""))</f>
        <v/>
      </c>
      <c r="Q35" s="37">
        <f ca="1">IF(DAY(ЮниНед1)=1,"",IF(AND(YEAR(ЮниНед1+6)=CalendarYear,MONTH(ЮниНед1+6)=6),ЮниНед1+6,""))</f>
        <v>43617</v>
      </c>
      <c r="R35" s="37">
        <f ca="1">IF(DAY(ЮниНед1)=1,IF(AND(YEAR(ЮниНед1)=CalendarYear,MONTH(ЮниНед1)=6),ЮниНед1,""),IF(AND(YEAR(ЮниНед1+7)=CalendarYear,MONTH(ЮниНед1+7)=6),ЮниНед1+7,""))</f>
        <v>43618</v>
      </c>
      <c r="S35" s="24"/>
      <c r="T35" s="28"/>
      <c r="U35" s="37">
        <f ca="1">IF(DAY(ЮлиНед1)=1,"",IF(AND(YEAR(ЮлиНед1+1)=CalendarYear,MONTH(ЮлиНед1+1)=7),ЮлиНед1+1,""))</f>
        <v>43647</v>
      </c>
      <c r="V35" s="37">
        <f ca="1">IF(DAY(ЮлиНед1)=1,"",IF(AND(YEAR(ЮлиНед1+2)=CalendarYear,MONTH(ЮлиНед1+2)=7),ЮлиНед1+2,""))</f>
        <v>43648</v>
      </c>
      <c r="W35" s="37">
        <f ca="1">IF(DAY(ЮлиНед1)=1,"",IF(AND(YEAR(ЮлиНед1+3)=CalendarYear,MONTH(ЮлиНед1+3)=7),ЮлиНед1+3,""))</f>
        <v>43649</v>
      </c>
      <c r="X35" s="37">
        <f ca="1">IF(DAY(ЮлиНед1)=1,"",IF(AND(YEAR(ЮлиНед1+4)=CalendarYear,MONTH(ЮлиНед1+4)=7),ЮлиНед1+4,""))</f>
        <v>43650</v>
      </c>
      <c r="Y35" s="37">
        <f ca="1">IF(DAY(ЮлиНед1)=1,"",IF(AND(YEAR(ЮлиНед1+5)=CalendarYear,MONTH(ЮлиНед1+5)=7),ЮлиНед1+5,""))</f>
        <v>43651</v>
      </c>
      <c r="Z35" s="37">
        <f ca="1">IF(DAY(ЮлиНед1)=1,"",IF(AND(YEAR(ЮлиНед1+6)=CalendarYear,MONTH(ЮлиНед1+6)=7),ЮлиНед1+6,""))</f>
        <v>43652</v>
      </c>
      <c r="AA35" s="37">
        <f ca="1">IF(DAY(ЮлиНед1)=1,IF(AND(YEAR(ЮлиНед1)=CalendarYear,MONTH(ЮлиНед1)=7),ЮлиНед1,""),IF(AND(YEAR(ЮлиНед1+7)=CalendarYear,MONTH(ЮлиНед1+7)=7),ЮлиНед1+7,""))</f>
        <v>43653</v>
      </c>
      <c r="AB35" s="24"/>
      <c r="AC35" s="25"/>
      <c r="AD35" s="37" t="str">
        <f ca="1">IF(DAY(АвгНед1)=1,"",IF(AND(YEAR(АвгНед1+1)=CalendarYear,MONTH(АвгНед1+1)=8),АвгНед1+1,""))</f>
        <v/>
      </c>
      <c r="AE35" s="37" t="str">
        <f ca="1">IF(DAY(АвгНед1)=1,"",IF(AND(YEAR(АвгНед1+2)=CalendarYear,MONTH(АвгНед1+2)=8),АвгНед1+2,""))</f>
        <v/>
      </c>
      <c r="AF35" s="37" t="str">
        <f ca="1">IF(DAY(АвгНед1)=1,"",IF(AND(YEAR(АвгНед1+3)=CalendarYear,MONTH(АвгНед1+3)=8),АвгНед1+3,""))</f>
        <v/>
      </c>
      <c r="AG35" s="37">
        <f ca="1">IF(DAY(АвгНед1)=1,"",IF(AND(YEAR(АвгНед1+4)=CalendarYear,MONTH(АвгНед1+4)=8),АвгНед1+4,""))</f>
        <v>43678</v>
      </c>
      <c r="AH35" s="37">
        <f ca="1">IF(DAY(АвгНед1)=1,"",IF(AND(YEAR(АвгНед1+5)=CalendarYear,MONTH(АвгНед1+5)=8),АвгНед1+5,""))</f>
        <v>43679</v>
      </c>
      <c r="AI35" s="37">
        <f ca="1">IF(DAY(АвгНед1)=1,"",IF(AND(YEAR(АвгНед1+6)=CalendarYear,MONTH(АвгНед1+6)=8),АвгНед1+6,""))</f>
        <v>43680</v>
      </c>
      <c r="AJ35" s="37">
        <f ca="1">IF(DAY(АвгНед1)=1,IF(AND(YEAR(АвгНед1)=CalendarYear,MONTH(АвгНед1)=8),АвгНед1,""),IF(AND(YEAR(АвгНед1+7)=CalendarYear,MONTH(АвгНед1+7)=8),АвгНед1+7,""))</f>
        <v>43681</v>
      </c>
    </row>
    <row r="36" spans="3:36" x14ac:dyDescent="0.2">
      <c r="C36" s="37">
        <f ca="1">IF(DAY(МайНед1)=1,IF(AND(YEAR(МайНед1+1)=CalendarYear,MONTH(МайНед1+1)=5),МайНед1+1,""),IF(AND(YEAR(МайНед1+8)=CalendarYear,MONTH(МайНед1+8)=5),МайНед1+8,""))</f>
        <v>43591</v>
      </c>
      <c r="D36" s="37">
        <f ca="1">IF(DAY(МайНед1)=1,IF(AND(YEAR(МайНед1+2)=CalendarYear,MONTH(МайНед1+2)=5),МайНед1+2,""),IF(AND(YEAR(МайНед1+9)=CalendarYear,MONTH(МайНед1+9)=5),МайНед1+9,""))</f>
        <v>43592</v>
      </c>
      <c r="E36" s="37">
        <f ca="1">IF(DAY(МайНед1)=1,IF(AND(YEAR(МайНед1+3)=CalendarYear,MONTH(МайНед1+3)=5),МайНед1+3,""),IF(AND(YEAR(МайНед1+10)=CalendarYear,MONTH(МайНед1+10)=5),МайНед1+10,""))</f>
        <v>43593</v>
      </c>
      <c r="F36" s="37">
        <f ca="1">IF(DAY(МайНед1)=1,IF(AND(YEAR(МайНед1+4)=CalendarYear,MONTH(МайНед1+4)=5),МайНед1+4,""),IF(AND(YEAR(МайНед1+11)=CalendarYear,MONTH(МайНед1+11)=5),МайНед1+11,""))</f>
        <v>43594</v>
      </c>
      <c r="G36" s="37">
        <f ca="1">IF(DAY(МайНед1)=1,IF(AND(YEAR(МайНед1+5)=CalendarYear,MONTH(МайНед1+5)=5),МайНед1+5,""),IF(AND(YEAR(МайНед1+12)=CalendarYear,MONTH(МайНед1+12)=5),МайНед1+12,""))</f>
        <v>43595</v>
      </c>
      <c r="H36" s="37">
        <f ca="1">IF(DAY(МайНед1)=1,IF(AND(YEAR(МайНед1+6)=CalendarYear,MONTH(МайНед1+6)=5),МайНед1+6,""),IF(AND(YEAR(МайНед1+13)=CalendarYear,MONTH(МайНед1+13)=5),МайНед1+13,""))</f>
        <v>43596</v>
      </c>
      <c r="I36" s="37">
        <f ca="1">IF(DAY(МайНед1)=1,IF(AND(YEAR(МайНед1+7)=CalendarYear,MONTH(МайНед1+7)=5),МайНед1+7,""),IF(AND(YEAR(МайНед1+14)=CalendarYear,MONTH(МайНед1+14)=5),МайНед1+14,""))</f>
        <v>43597</v>
      </c>
      <c r="J36" s="24"/>
      <c r="K36" s="23"/>
      <c r="L36" s="37">
        <f ca="1">IF(DAY(ЮниНед1)=1,IF(AND(YEAR(ЮниНед1+1)=CalendarYear,MONTH(ЮниНед1+1)=6),ЮниНед1+1,""),IF(AND(YEAR(ЮниНед1+8)=CalendarYear,MONTH(ЮниНед1+8)=6),ЮниНед1+8,""))</f>
        <v>43619</v>
      </c>
      <c r="M36" s="37">
        <f ca="1">IF(DAY(ЮниНед1)=1,IF(AND(YEAR(ЮниНед1+2)=CalendarYear,MONTH(ЮниНед1+2)=6),ЮниНед1+2,""),IF(AND(YEAR(ЮниНед1+9)=CalendarYear,MONTH(ЮниНед1+9)=6),ЮниНед1+9,""))</f>
        <v>43620</v>
      </c>
      <c r="N36" s="37">
        <f ca="1">IF(DAY(ЮниНед1)=1,IF(AND(YEAR(ЮниНед1+3)=CalendarYear,MONTH(ЮниНед1+3)=6),ЮниНед1+3,""),IF(AND(YEAR(ЮниНед1+10)=CalendarYear,MONTH(ЮниНед1+10)=6),ЮниНед1+10,""))</f>
        <v>43621</v>
      </c>
      <c r="O36" s="37">
        <f ca="1">IF(DAY(ЮниНед1)=1,IF(AND(YEAR(ЮниНед1+4)=CalendarYear,MONTH(ЮниНед1+4)=6),ЮниНед1+4,""),IF(AND(YEAR(ЮниНед1+11)=CalendarYear,MONTH(ЮниНед1+11)=6),ЮниНед1+11,""))</f>
        <v>43622</v>
      </c>
      <c r="P36" s="37">
        <f ca="1">IF(DAY(ЮниНед1)=1,IF(AND(YEAR(ЮниНед1+5)=CalendarYear,MONTH(ЮниНед1+5)=6),ЮниНед1+5,""),IF(AND(YEAR(ЮниНед1+12)=CalendarYear,MONTH(ЮниНед1+12)=6),ЮниНед1+12,""))</f>
        <v>43623</v>
      </c>
      <c r="Q36" s="37">
        <f ca="1">IF(DAY(ЮниНед1)=1,IF(AND(YEAR(ЮниНед1+6)=CalendarYear,MONTH(ЮниНед1+6)=6),ЮниНед1+6,""),IF(AND(YEAR(ЮниНед1+13)=CalendarYear,MONTH(ЮниНед1+13)=6),ЮниНед1+13,""))</f>
        <v>43624</v>
      </c>
      <c r="R36" s="37">
        <f ca="1">IF(DAY(ЮниНед1)=1,IF(AND(YEAR(ЮниНед1+7)=CalendarYear,MONTH(ЮниНед1+7)=6),ЮниНед1+7,""),IF(AND(YEAR(ЮниНед1+14)=CalendarYear,MONTH(ЮниНед1+14)=6),ЮниНед1+14,""))</f>
        <v>43625</v>
      </c>
      <c r="S36" s="24"/>
      <c r="T36" s="28"/>
      <c r="U36" s="37">
        <f ca="1">IF(DAY(ЮлиНед1)=1,IF(AND(YEAR(ЮлиНед1+1)=CalendarYear,MONTH(ЮлиНед1+1)=7),ЮлиНед1+1,""),IF(AND(YEAR(ЮлиНед1+8)=CalendarYear,MONTH(ЮлиНед1+8)=7),ЮлиНед1+8,""))</f>
        <v>43654</v>
      </c>
      <c r="V36" s="37">
        <f ca="1">IF(DAY(ЮлиНед1)=1,IF(AND(YEAR(ЮлиНед1+2)=CalendarYear,MONTH(ЮлиНед1+2)=7),ЮлиНед1+2,""),IF(AND(YEAR(ЮлиНед1+9)=CalendarYear,MONTH(ЮлиНед1+9)=7),ЮлиНед1+9,""))</f>
        <v>43655</v>
      </c>
      <c r="W36" s="37">
        <f ca="1">IF(DAY(ЮлиНед1)=1,IF(AND(YEAR(ЮлиНед1+3)=CalendarYear,MONTH(ЮлиНед1+3)=7),ЮлиНед1+3,""),IF(AND(YEAR(ЮлиНед1+10)=CalendarYear,MONTH(ЮлиНед1+10)=7),ЮлиНед1+10,""))</f>
        <v>43656</v>
      </c>
      <c r="X36" s="37">
        <f ca="1">IF(DAY(ЮлиНед1)=1,IF(AND(YEAR(ЮлиНед1+4)=CalendarYear,MONTH(ЮлиНед1+4)=7),ЮлиНед1+4,""),IF(AND(YEAR(ЮлиНед1+11)=CalendarYear,MONTH(ЮлиНед1+11)=7),ЮлиНед1+11,""))</f>
        <v>43657</v>
      </c>
      <c r="Y36" s="37">
        <f ca="1">IF(DAY(ЮлиНед1)=1,IF(AND(YEAR(ЮлиНед1+5)=CalendarYear,MONTH(ЮлиНед1+5)=7),ЮлиНед1+5,""),IF(AND(YEAR(ЮлиНед1+12)=CalendarYear,MONTH(ЮлиНед1+12)=7),ЮлиНед1+12,""))</f>
        <v>43658</v>
      </c>
      <c r="Z36" s="37">
        <f ca="1">IF(DAY(ЮлиНед1)=1,IF(AND(YEAR(ЮлиНед1+6)=CalendarYear,MONTH(ЮлиНед1+6)=7),ЮлиНед1+6,""),IF(AND(YEAR(ЮлиНед1+13)=CalendarYear,MONTH(ЮлиНед1+13)=7),ЮлиНед1+13,""))</f>
        <v>43659</v>
      </c>
      <c r="AA36" s="37">
        <f ca="1">IF(DAY(ЮлиНед1)=1,IF(AND(YEAR(ЮлиНед1+7)=CalendarYear,MONTH(ЮлиНед1+7)=7),ЮлиНед1+7,""),IF(AND(YEAR(ЮлиНед1+14)=CalendarYear,MONTH(ЮлиНед1+14)=7),ЮлиНед1+14,""))</f>
        <v>43660</v>
      </c>
      <c r="AB36" s="24"/>
      <c r="AC36" s="27"/>
      <c r="AD36" s="37">
        <f ca="1">IF(DAY(АвгНед1)=1,IF(AND(YEAR(АвгНед1+1)=CalendarYear,MONTH(АвгНед1+1)=8),АвгНед1+1,""),IF(AND(YEAR(АвгНед1+8)=CalendarYear,MONTH(АвгНед1+8)=8),АвгНед1+8,""))</f>
        <v>43682</v>
      </c>
      <c r="AE36" s="37">
        <f ca="1">IF(DAY(АвгНед1)=1,IF(AND(YEAR(АвгНед1+2)=CalendarYear,MONTH(АвгНед1+2)=8),АвгНед1+2,""),IF(AND(YEAR(АвгНед1+9)=CalendarYear,MONTH(АвгНед1+9)=8),АвгНед1+9,""))</f>
        <v>43683</v>
      </c>
      <c r="AF36" s="37">
        <f ca="1">IF(DAY(АвгНед1)=1,IF(AND(YEAR(АвгНед1+3)=CalendarYear,MONTH(АвгНед1+3)=8),АвгНед1+3,""),IF(AND(YEAR(АвгНед1+10)=CalendarYear,MONTH(АвгНед1+10)=8),АвгНед1+10,""))</f>
        <v>43684</v>
      </c>
      <c r="AG36" s="37">
        <f ca="1">IF(DAY(АвгНед1)=1,IF(AND(YEAR(АвгНед1+4)=CalendarYear,MONTH(АвгНед1+4)=8),АвгНед1+4,""),IF(AND(YEAR(АвгНед1+11)=CalendarYear,MONTH(АвгНед1+11)=8),АвгНед1+11,""))</f>
        <v>43685</v>
      </c>
      <c r="AH36" s="37">
        <f ca="1">IF(DAY(АвгНед1)=1,IF(AND(YEAR(АвгНед1+5)=CalendarYear,MONTH(АвгНед1+5)=8),АвгНед1+5,""),IF(AND(YEAR(АвгНед1+12)=CalendarYear,MONTH(АвгНед1+12)=8),АвгНед1+12,""))</f>
        <v>43686</v>
      </c>
      <c r="AI36" s="37">
        <f ca="1">IF(DAY(АвгНед1)=1,IF(AND(YEAR(АвгНед1+6)=CalendarYear,MONTH(АвгНед1+6)=8),АвгНед1+6,""),IF(AND(YEAR(АвгНед1+13)=CalendarYear,MONTH(АвгНед1+13)=8),АвгНед1+13,""))</f>
        <v>43687</v>
      </c>
      <c r="AJ36" s="37">
        <f ca="1">IF(DAY(АвгНед1)=1,IF(AND(YEAR(АвгНед1+7)=CalendarYear,MONTH(АвгНед1+7)=8),АвгНед1+7,""),IF(AND(YEAR(АвгНед1+14)=CalendarYear,MONTH(АвгНед1+14)=8),АвгНед1+14,""))</f>
        <v>43688</v>
      </c>
    </row>
    <row r="37" spans="3:36" x14ac:dyDescent="0.2">
      <c r="C37" s="37">
        <f ca="1">IF(DAY(МайНед1)=1,IF(AND(YEAR(МайНед1+8)=CalendarYear,MONTH(МайНед1+8)=5),МайНед1+8,""),IF(AND(YEAR(МайНед1+15)=CalendarYear,MONTH(МайНед1+15)=5),МайНед1+15,""))</f>
        <v>43598</v>
      </c>
      <c r="D37" s="37">
        <f ca="1">IF(DAY(МайНед1)=1,IF(AND(YEAR(МайНед1+9)=CalendarYear,MONTH(МайНед1+9)=5),МайНед1+9,""),IF(AND(YEAR(МайНед1+16)=CalendarYear,MONTH(МайНед1+16)=5),МайНед1+16,""))</f>
        <v>43599</v>
      </c>
      <c r="E37" s="37">
        <f ca="1">IF(DAY(МайНед1)=1,IF(AND(YEAR(МайНед1+10)=CalendarYear,MONTH(МайНед1+10)=5),МайНед1+10,""),IF(AND(YEAR(МайНед1+17)=CalendarYear,MONTH(МайНед1+17)=5),МайНед1+17,""))</f>
        <v>43600</v>
      </c>
      <c r="F37" s="37">
        <f ca="1">IF(DAY(МайНед1)=1,IF(AND(YEAR(МайНед1+11)=CalendarYear,MONTH(МайНед1+11)=5),МайНед1+11,""),IF(AND(YEAR(МайНед1+18)=CalendarYear,MONTH(МайНед1+18)=5),МайНед1+18,""))</f>
        <v>43601</v>
      </c>
      <c r="G37" s="37">
        <f ca="1">IF(DAY(МайНед1)=1,IF(AND(YEAR(МайНед1+12)=CalendarYear,MONTH(МайНед1+12)=5),МайНед1+12,""),IF(AND(YEAR(МайНед1+19)=CalendarYear,MONTH(МайНед1+19)=5),МайНед1+19,""))</f>
        <v>43602</v>
      </c>
      <c r="H37" s="37">
        <f ca="1">IF(DAY(МайНед1)=1,IF(AND(YEAR(МайНед1+13)=CalendarYear,MONTH(МайНед1+13)=5),МайНед1+13,""),IF(AND(YEAR(МайНед1+20)=CalendarYear,MONTH(МайНед1+20)=5),МайНед1+20,""))</f>
        <v>43603</v>
      </c>
      <c r="I37" s="37">
        <f ca="1">IF(DAY(МайНед1)=1,IF(AND(YEAR(МайНед1+14)=CalendarYear,MONTH(МайНед1+14)=5),МайНед1+14,""),IF(AND(YEAR(МайНед1+21)=CalendarYear,MONTH(МайНед1+21)=5),МайНед1+21,""))</f>
        <v>43604</v>
      </c>
      <c r="J37" s="24"/>
      <c r="K37" s="23"/>
      <c r="L37" s="37">
        <f ca="1">IF(DAY(ЮниНед1)=1,IF(AND(YEAR(ЮниНед1+8)=CalendarYear,MONTH(ЮниНед1+8)=6),ЮниНед1+8,""),IF(AND(YEAR(ЮниНед1+15)=CalendarYear,MONTH(ЮниНед1+15)=6),ЮниНед1+15,""))</f>
        <v>43626</v>
      </c>
      <c r="M37" s="37">
        <f ca="1">IF(DAY(ЮниНед1)=1,IF(AND(YEAR(ЮниНед1+9)=CalendarYear,MONTH(ЮниНед1+9)=6),ЮниНед1+9,""),IF(AND(YEAR(ЮниНед1+16)=CalendarYear,MONTH(ЮниНед1+16)=6),ЮниНед1+16,""))</f>
        <v>43627</v>
      </c>
      <c r="N37" s="37">
        <f ca="1">IF(DAY(ЮниНед1)=1,IF(AND(YEAR(ЮниНед1+10)=CalendarYear,MONTH(ЮниНед1+10)=6),ЮниНед1+10,""),IF(AND(YEAR(ЮниНед1+17)=CalendarYear,MONTH(ЮниНед1+17)=6),ЮниНед1+17,""))</f>
        <v>43628</v>
      </c>
      <c r="O37" s="37">
        <f ca="1">IF(DAY(ЮниНед1)=1,IF(AND(YEAR(ЮниНед1+11)=CalendarYear,MONTH(ЮниНед1+11)=6),ЮниНед1+11,""),IF(AND(YEAR(ЮниНед1+18)=CalendarYear,MONTH(ЮниНед1+18)=6),ЮниНед1+18,""))</f>
        <v>43629</v>
      </c>
      <c r="P37" s="37">
        <f ca="1">IF(DAY(ЮниНед1)=1,IF(AND(YEAR(ЮниНед1+12)=CalendarYear,MONTH(ЮниНед1+12)=6),ЮниНед1+12,""),IF(AND(YEAR(ЮниНед1+19)=CalendarYear,MONTH(ЮниНед1+19)=6),ЮниНед1+19,""))</f>
        <v>43630</v>
      </c>
      <c r="Q37" s="37">
        <f ca="1">IF(DAY(ЮниНед1)=1,IF(AND(YEAR(ЮниНед1+13)=CalendarYear,MONTH(ЮниНед1+13)=6),ЮниНед1+13,""),IF(AND(YEAR(ЮниНед1+20)=CalendarYear,MONTH(ЮниНед1+20)=6),ЮниНед1+20,""))</f>
        <v>43631</v>
      </c>
      <c r="R37" s="37">
        <f ca="1">IF(DAY(ЮниНед1)=1,IF(AND(YEAR(ЮниНед1+14)=CalendarYear,MONTH(ЮниНед1+14)=6),ЮниНед1+14,""),IF(AND(YEAR(ЮниНед1+21)=CalendarYear,MONTH(ЮниНед1+21)=6),ЮниНед1+21,""))</f>
        <v>43632</v>
      </c>
      <c r="S37" s="24"/>
      <c r="T37" s="28"/>
      <c r="U37" s="37">
        <f ca="1">IF(DAY(ЮлиНед1)=1,IF(AND(YEAR(ЮлиНед1+8)=CalendarYear,MONTH(ЮлиНед1+8)=7),ЮлиНед1+8,""),IF(AND(YEAR(ЮлиНед1+15)=CalendarYear,MONTH(ЮлиНед1+15)=7),ЮлиНед1+15,""))</f>
        <v>43661</v>
      </c>
      <c r="V37" s="37">
        <f ca="1">IF(DAY(ЮлиНед1)=1,IF(AND(YEAR(ЮлиНед1+9)=CalendarYear,MONTH(ЮлиНед1+9)=7),ЮлиНед1+9,""),IF(AND(YEAR(ЮлиНед1+16)=CalendarYear,MONTH(ЮлиНед1+16)=7),ЮлиНед1+16,""))</f>
        <v>43662</v>
      </c>
      <c r="W37" s="37">
        <f ca="1">IF(DAY(ЮлиНед1)=1,IF(AND(YEAR(ЮлиНед1+10)=CalendarYear,MONTH(ЮлиНед1+10)=7),ЮлиНед1+10,""),IF(AND(YEAR(ЮлиНед1+17)=CalendarYear,MONTH(ЮлиНед1+17)=7),ЮлиНед1+17,""))</f>
        <v>43663</v>
      </c>
      <c r="X37" s="37">
        <f ca="1">IF(DAY(ЮлиНед1)=1,IF(AND(YEAR(ЮлиНед1+11)=CalendarYear,MONTH(ЮлиНед1+11)=7),ЮлиНед1+11,""),IF(AND(YEAR(ЮлиНед1+18)=CalendarYear,MONTH(ЮлиНед1+18)=7),ЮлиНед1+18,""))</f>
        <v>43664</v>
      </c>
      <c r="Y37" s="37">
        <f ca="1">IF(DAY(ЮлиНед1)=1,IF(AND(YEAR(ЮлиНед1+12)=CalendarYear,MONTH(ЮлиНед1+12)=7),ЮлиНед1+12,""),IF(AND(YEAR(ЮлиНед1+19)=CalendarYear,MONTH(ЮлиНед1+19)=7),ЮлиНед1+19,""))</f>
        <v>43665</v>
      </c>
      <c r="Z37" s="37">
        <f ca="1">IF(DAY(ЮлиНед1)=1,IF(AND(YEAR(ЮлиНед1+13)=CalendarYear,MONTH(ЮлиНед1+13)=7),ЮлиНед1+13,""),IF(AND(YEAR(ЮлиНед1+20)=CalendarYear,MONTH(ЮлиНед1+20)=7),ЮлиНед1+20,""))</f>
        <v>43666</v>
      </c>
      <c r="AA37" s="37">
        <f ca="1">IF(DAY(ЮлиНед1)=1,IF(AND(YEAR(ЮлиНед1+14)=CalendarYear,MONTH(ЮлиНед1+14)=7),ЮлиНед1+14,""),IF(AND(YEAR(ЮлиНед1+21)=CalendarYear,MONTH(ЮлиНед1+21)=7),ЮлиНед1+21,""))</f>
        <v>43667</v>
      </c>
      <c r="AB37" s="24"/>
      <c r="AC37" s="27"/>
      <c r="AD37" s="37">
        <f ca="1">IF(DAY(АвгНед1)=1,IF(AND(YEAR(АвгНед1+8)=CalendarYear,MONTH(АвгНед1+8)=8),АвгНед1+8,""),IF(AND(YEAR(АвгНед1+15)=CalendarYear,MONTH(АвгНед1+15)=8),АвгНед1+15,""))</f>
        <v>43689</v>
      </c>
      <c r="AE37" s="37">
        <f ca="1">IF(DAY(АвгНед1)=1,IF(AND(YEAR(АвгНед1+9)=CalendarYear,MONTH(АвгНед1+9)=8),АвгНед1+9,""),IF(AND(YEAR(АвгНед1+16)=CalendarYear,MONTH(АвгНед1+16)=8),АвгНед1+16,""))</f>
        <v>43690</v>
      </c>
      <c r="AF37" s="37">
        <f ca="1">IF(DAY(АвгНед1)=1,IF(AND(YEAR(АвгНед1+10)=CalendarYear,MONTH(АвгНед1+10)=8),АвгНед1+10,""),IF(AND(YEAR(АвгНед1+17)=CalendarYear,MONTH(АвгНед1+17)=8),АвгНед1+17,""))</f>
        <v>43691</v>
      </c>
      <c r="AG37" s="37">
        <f ca="1">IF(DAY(АвгНед1)=1,IF(AND(YEAR(АвгНед1+11)=CalendarYear,MONTH(АвгНед1+11)=8),АвгНед1+11,""),IF(AND(YEAR(АвгНед1+18)=CalendarYear,MONTH(АвгНед1+18)=8),АвгНед1+18,""))</f>
        <v>43692</v>
      </c>
      <c r="AH37" s="37">
        <f ca="1">IF(DAY(АвгНед1)=1,IF(AND(YEAR(АвгНед1+12)=CalendarYear,MONTH(АвгНед1+12)=8),АвгНед1+12,""),IF(AND(YEAR(АвгНед1+19)=CalendarYear,MONTH(АвгНед1+19)=8),АвгНед1+19,""))</f>
        <v>43693</v>
      </c>
      <c r="AI37" s="37">
        <f ca="1">IF(DAY(АвгНед1)=1,IF(AND(YEAR(АвгНед1+13)=CalendarYear,MONTH(АвгНед1+13)=8),АвгНед1+13,""),IF(AND(YEAR(АвгНед1+20)=CalendarYear,MONTH(АвгНед1+20)=8),АвгНед1+20,""))</f>
        <v>43694</v>
      </c>
      <c r="AJ37" s="37">
        <f ca="1">IF(DAY(АвгНед1)=1,IF(AND(YEAR(АвгНед1+14)=CalendarYear,MONTH(АвгНед1+14)=8),АвгНед1+14,""),IF(AND(YEAR(АвгНед1+21)=CalendarYear,MONTH(АвгНед1+21)=8),АвгНед1+21,""))</f>
        <v>43695</v>
      </c>
    </row>
    <row r="38" spans="3:36" x14ac:dyDescent="0.2">
      <c r="C38" s="37">
        <f ca="1">IF(DAY(МайНед1)=1,IF(AND(YEAR(МайНед1+15)=CalendarYear,MONTH(МайНед1+15)=5),МайНед1+15,""),IF(AND(YEAR(МайНед1+22)=CalendarYear,MONTH(МайНед1+22)=5),МайНед1+22,""))</f>
        <v>43605</v>
      </c>
      <c r="D38" s="37">
        <f ca="1">IF(DAY(МайНед1)=1,IF(AND(YEAR(МайНед1+16)=CalendarYear,MONTH(МайНед1+16)=5),МайНед1+16,""),IF(AND(YEAR(МайНед1+23)=CalendarYear,MONTH(МайНед1+23)=5),МайНед1+23,""))</f>
        <v>43606</v>
      </c>
      <c r="E38" s="37">
        <f ca="1">IF(DAY(МайНед1)=1,IF(AND(YEAR(МайНед1+17)=CalendarYear,MONTH(МайНед1+17)=5),МайНед1+17,""),IF(AND(YEAR(МайНед1+24)=CalendarYear,MONTH(МайНед1+24)=5),МайНед1+24,""))</f>
        <v>43607</v>
      </c>
      <c r="F38" s="37">
        <f ca="1">IF(DAY(МайНед1)=1,IF(AND(YEAR(МайНед1+18)=CalendarYear,MONTH(МайНед1+18)=5),МайНед1+18,""),IF(AND(YEAR(МайНед1+25)=CalendarYear,MONTH(МайНед1+25)=5),МайНед1+25,""))</f>
        <v>43608</v>
      </c>
      <c r="G38" s="37">
        <f ca="1">IF(DAY(МайНед1)=1,IF(AND(YEAR(МайНед1+19)=CalendarYear,MONTH(МайНед1+19)=5),МайНед1+19,""),IF(AND(YEAR(МайНед1+26)=CalendarYear,MONTH(МайНед1+26)=5),МайНед1+26,""))</f>
        <v>43609</v>
      </c>
      <c r="H38" s="37">
        <f ca="1">IF(DAY(МайНед1)=1,IF(AND(YEAR(МайНед1+20)=CalendarYear,MONTH(МайНед1+20)=5),МайНед1+20,""),IF(AND(YEAR(МайНед1+27)=CalendarYear,MONTH(МайНед1+27)=5),МайНед1+27,""))</f>
        <v>43610</v>
      </c>
      <c r="I38" s="37">
        <f ca="1">IF(DAY(МайНед1)=1,IF(AND(YEAR(МайНед1+21)=CalendarYear,MONTH(МайНед1+21)=5),МайНед1+21,""),IF(AND(YEAR(МайНед1+28)=CalendarYear,MONTH(МайНед1+28)=5),МайНед1+28,""))</f>
        <v>43611</v>
      </c>
      <c r="J38" s="24"/>
      <c r="K38" s="23"/>
      <c r="L38" s="37">
        <f ca="1">IF(DAY(ЮниНед1)=1,IF(AND(YEAR(ЮниНед1+15)=CalendarYear,MONTH(ЮниНед1+15)=6),ЮниНед1+15,""),IF(AND(YEAR(ЮниНед1+22)=CalendarYear,MONTH(ЮниНед1+22)=6),ЮниНед1+22,""))</f>
        <v>43633</v>
      </c>
      <c r="M38" s="37">
        <f ca="1">IF(DAY(ЮниНед1)=1,IF(AND(YEAR(ЮниНед1+16)=CalendarYear,MONTH(ЮниНед1+16)=6),ЮниНед1+16,""),IF(AND(YEAR(ЮниНед1+23)=CalendarYear,MONTH(ЮниНед1+23)=6),ЮниНед1+23,""))</f>
        <v>43634</v>
      </c>
      <c r="N38" s="37">
        <f ca="1">IF(DAY(ЮниНед1)=1,IF(AND(YEAR(ЮниНед1+17)=CalendarYear,MONTH(ЮниНед1+17)=6),ЮниНед1+17,""),IF(AND(YEAR(ЮниНед1+24)=CalendarYear,MONTH(ЮниНед1+24)=6),ЮниНед1+24,""))</f>
        <v>43635</v>
      </c>
      <c r="O38" s="37">
        <f ca="1">IF(DAY(ЮниНед1)=1,IF(AND(YEAR(ЮниНед1+18)=CalendarYear,MONTH(ЮниНед1+18)=6),ЮниНед1+18,""),IF(AND(YEAR(ЮниНед1+25)=CalendarYear,MONTH(ЮниНед1+25)=6),ЮниНед1+25,""))</f>
        <v>43636</v>
      </c>
      <c r="P38" s="37">
        <f ca="1">IF(DAY(ЮниНед1)=1,IF(AND(YEAR(ЮниНед1+19)=CalendarYear,MONTH(ЮниНед1+19)=6),ЮниНед1+19,""),IF(AND(YEAR(ЮниНед1+26)=CalendarYear,MONTH(ЮниНед1+26)=6),ЮниНед1+26,""))</f>
        <v>43637</v>
      </c>
      <c r="Q38" s="37">
        <f ca="1">IF(DAY(ЮниНед1)=1,IF(AND(YEAR(ЮниНед1+20)=CalendarYear,MONTH(ЮниНед1+20)=6),ЮниНед1+20,""),IF(AND(YEAR(ЮниНед1+27)=CalendarYear,MONTH(ЮниНед1+27)=6),ЮниНед1+27,""))</f>
        <v>43638</v>
      </c>
      <c r="R38" s="37">
        <f ca="1">IF(DAY(ЮниНед1)=1,IF(AND(YEAR(ЮниНед1+21)=CalendarYear,MONTH(ЮниНед1+21)=6),ЮниНед1+21,""),IF(AND(YEAR(ЮниНед1+28)=CalendarYear,MONTH(ЮниНед1+28)=6),ЮниНед1+28,""))</f>
        <v>43639</v>
      </c>
      <c r="S38" s="24"/>
      <c r="T38" s="28"/>
      <c r="U38" s="37">
        <f ca="1">IF(DAY(ЮлиНед1)=1,IF(AND(YEAR(ЮлиНед1+15)=CalendarYear,MONTH(ЮлиНед1+15)=7),ЮлиНед1+15,""),IF(AND(YEAR(ЮлиНед1+22)=CalendarYear,MONTH(ЮлиНед1+22)=7),ЮлиНед1+22,""))</f>
        <v>43668</v>
      </c>
      <c r="V38" s="37">
        <f ca="1">IF(DAY(ЮлиНед1)=1,IF(AND(YEAR(ЮлиНед1+16)=CalendarYear,MONTH(ЮлиНед1+16)=7),ЮлиНед1+16,""),IF(AND(YEAR(ЮлиНед1+23)=CalendarYear,MONTH(ЮлиНед1+23)=7),ЮлиНед1+23,""))</f>
        <v>43669</v>
      </c>
      <c r="W38" s="37">
        <f ca="1">IF(DAY(ЮлиНед1)=1,IF(AND(YEAR(ЮлиНед1+17)=CalendarYear,MONTH(ЮлиНед1+17)=7),ЮлиНед1+17,""),IF(AND(YEAR(ЮлиНед1+24)=CalendarYear,MONTH(ЮлиНед1+24)=7),ЮлиНед1+24,""))</f>
        <v>43670</v>
      </c>
      <c r="X38" s="37">
        <f ca="1">IF(DAY(ЮлиНед1)=1,IF(AND(YEAR(ЮлиНед1+18)=CalendarYear,MONTH(ЮлиНед1+18)=7),ЮлиНед1+18,""),IF(AND(YEAR(ЮлиНед1+25)=CalendarYear,MONTH(ЮлиНед1+25)=7),ЮлиНед1+25,""))</f>
        <v>43671</v>
      </c>
      <c r="Y38" s="37">
        <f ca="1">IF(DAY(ЮлиНед1)=1,IF(AND(YEAR(ЮлиНед1+19)=CalendarYear,MONTH(ЮлиНед1+19)=7),ЮлиНед1+19,""),IF(AND(YEAR(ЮлиНед1+26)=CalendarYear,MONTH(ЮлиНед1+26)=7),ЮлиНед1+26,""))</f>
        <v>43672</v>
      </c>
      <c r="Z38" s="37">
        <f ca="1">IF(DAY(ЮлиНед1)=1,IF(AND(YEAR(ЮлиНед1+20)=CalendarYear,MONTH(ЮлиНед1+20)=7),ЮлиНед1+20,""),IF(AND(YEAR(ЮлиНед1+27)=CalendarYear,MONTH(ЮлиНед1+27)=7),ЮлиНед1+27,""))</f>
        <v>43673</v>
      </c>
      <c r="AA38" s="37">
        <f ca="1">IF(DAY(ЮлиНед1)=1,IF(AND(YEAR(ЮлиНед1+21)=CalendarYear,MONTH(ЮлиНед1+21)=7),ЮлиНед1+21,""),IF(AND(YEAR(ЮлиНед1+28)=CalendarYear,MONTH(ЮлиНед1+28)=7),ЮлиНед1+28,""))</f>
        <v>43674</v>
      </c>
      <c r="AB38" s="24"/>
      <c r="AC38" s="27"/>
      <c r="AD38" s="37">
        <f ca="1">IF(DAY(АвгНед1)=1,IF(AND(YEAR(АвгНед1+15)=CalendarYear,MONTH(АвгНед1+15)=8),АвгНед1+15,""),IF(AND(YEAR(АвгНед1+22)=CalendarYear,MONTH(АвгНед1+22)=8),АвгНед1+22,""))</f>
        <v>43696</v>
      </c>
      <c r="AE38" s="37">
        <f ca="1">IF(DAY(АвгНед1)=1,IF(AND(YEAR(АвгНед1+16)=CalendarYear,MONTH(АвгНед1+16)=8),АвгНед1+16,""),IF(AND(YEAR(АвгНед1+23)=CalendarYear,MONTH(АвгНед1+23)=8),АвгНед1+23,""))</f>
        <v>43697</v>
      </c>
      <c r="AF38" s="37">
        <f ca="1">IF(DAY(АвгНед1)=1,IF(AND(YEAR(АвгНед1+17)=CalendarYear,MONTH(АвгНед1+17)=8),АвгНед1+17,""),IF(AND(YEAR(АвгНед1+24)=CalendarYear,MONTH(АвгНед1+24)=8),АвгНед1+24,""))</f>
        <v>43698</v>
      </c>
      <c r="AG38" s="37">
        <f ca="1">IF(DAY(АвгНед1)=1,IF(AND(YEAR(АвгНед1+18)=CalendarYear,MONTH(АвгНед1+18)=8),АвгНед1+18,""),IF(AND(YEAR(АвгНед1+25)=CalendarYear,MONTH(АвгНед1+25)=8),АвгНед1+25,""))</f>
        <v>43699</v>
      </c>
      <c r="AH38" s="37">
        <f ca="1">IF(DAY(АвгНед1)=1,IF(AND(YEAR(АвгНед1+19)=CalendarYear,MONTH(АвгНед1+19)=8),АвгНед1+19,""),IF(AND(YEAR(АвгНед1+26)=CalendarYear,MONTH(АвгНед1+26)=8),АвгНед1+26,""))</f>
        <v>43700</v>
      </c>
      <c r="AI38" s="37">
        <f ca="1">IF(DAY(АвгНед1)=1,IF(AND(YEAR(АвгНед1+20)=CalendarYear,MONTH(АвгНед1+20)=8),АвгНед1+20,""),IF(AND(YEAR(АвгНед1+27)=CalendarYear,MONTH(АвгНед1+27)=8),АвгНед1+27,""))</f>
        <v>43701</v>
      </c>
      <c r="AJ38" s="37">
        <f ca="1">IF(DAY(АвгНед1)=1,IF(AND(YEAR(АвгНед1+21)=CalendarYear,MONTH(АвгНед1+21)=8),АвгНед1+21,""),IF(AND(YEAR(АвгНед1+28)=CalendarYear,MONTH(АвгНед1+28)=8),АвгНед1+28,""))</f>
        <v>43702</v>
      </c>
    </row>
    <row r="39" spans="3:36" x14ac:dyDescent="0.2">
      <c r="C39" s="37">
        <f ca="1">IF(DAY(МайНед1)=1,IF(AND(YEAR(МайНед1+22)=CalendarYear,MONTH(МайНед1+22)=5),МайНед1+22,""),IF(AND(YEAR(МайНед1+29)=CalendarYear,MONTH(МайНед1+29)=5),МайНед1+29,""))</f>
        <v>43612</v>
      </c>
      <c r="D39" s="37">
        <f ca="1">IF(DAY(МайНед1)=1,IF(AND(YEAR(МайНед1+23)=CalendarYear,MONTH(МайНед1+23)=5),МайНед1+23,""),IF(AND(YEAR(МайНед1+30)=CalendarYear,MONTH(МайНед1+30)=5),МайНед1+30,""))</f>
        <v>43613</v>
      </c>
      <c r="E39" s="37">
        <f ca="1">IF(DAY(МайНед1)=1,IF(AND(YEAR(МайНед1+24)=CalendarYear,MONTH(МайНед1+24)=5),МайНед1+24,""),IF(AND(YEAR(МайНед1+31)=CalendarYear,MONTH(МайНед1+31)=5),МайНед1+31,""))</f>
        <v>43614</v>
      </c>
      <c r="F39" s="37">
        <f ca="1">IF(DAY(МайНед1)=1,IF(AND(YEAR(МайНед1+25)=CalendarYear,MONTH(МайНед1+25)=5),МайНед1+25,""),IF(AND(YEAR(МайНед1+32)=CalendarYear,MONTH(МайНед1+32)=5),МайНед1+32,""))</f>
        <v>43615</v>
      </c>
      <c r="G39" s="37">
        <f ca="1">IF(DAY(МайНед1)=1,IF(AND(YEAR(МайНед1+26)=CalendarYear,MONTH(МайНед1+26)=5),МайНед1+26,""),IF(AND(YEAR(МайНед1+33)=CalendarYear,MONTH(МайНед1+33)=5),МайНед1+33,""))</f>
        <v>43616</v>
      </c>
      <c r="H39" s="37" t="str">
        <f ca="1">IF(DAY(МайНед1)=1,IF(AND(YEAR(МайНед1+27)=CalendarYear,MONTH(МайНед1+27)=5),МайНед1+27,""),IF(AND(YEAR(МайНед1+34)=CalendarYear,MONTH(МайНед1+34)=5),МайНед1+34,""))</f>
        <v/>
      </c>
      <c r="I39" s="37" t="str">
        <f ca="1">IF(DAY(МайНед1)=1,IF(AND(YEAR(МайНед1+28)=CalendarYear,MONTH(МайНед1+28)=5),МайНед1+28,""),IF(AND(YEAR(МайНед1+35)=CalendarYear,MONTH(МайНед1+35)=5),МайНед1+35,""))</f>
        <v/>
      </c>
      <c r="J39" s="24"/>
      <c r="K39" s="23"/>
      <c r="L39" s="37">
        <f ca="1">IF(DAY(ЮниНед1)=1,IF(AND(YEAR(ЮниНед1+22)=CalendarYear,MONTH(ЮниНед1+22)=6),ЮниНед1+22,""),IF(AND(YEAR(ЮниНед1+29)=CalendarYear,MONTH(ЮниНед1+29)=6),ЮниНед1+29,""))</f>
        <v>43640</v>
      </c>
      <c r="M39" s="37">
        <f ca="1">IF(DAY(ЮниНед1)=1,IF(AND(YEAR(ЮниНед1+23)=CalendarYear,MONTH(ЮниНед1+23)=6),ЮниНед1+23,""),IF(AND(YEAR(ЮниНед1+30)=CalendarYear,MONTH(ЮниНед1+30)=6),ЮниНед1+30,""))</f>
        <v>43641</v>
      </c>
      <c r="N39" s="37">
        <f ca="1">IF(DAY(ЮниНед1)=1,IF(AND(YEAR(ЮниНед1+24)=CalendarYear,MONTH(ЮниНед1+24)=6),ЮниНед1+24,""),IF(AND(YEAR(ЮниНед1+31)=CalendarYear,MONTH(ЮниНед1+31)=6),ЮниНед1+31,""))</f>
        <v>43642</v>
      </c>
      <c r="O39" s="37">
        <f ca="1">IF(DAY(ЮниНед1)=1,IF(AND(YEAR(ЮниНед1+25)=CalendarYear,MONTH(ЮниНед1+25)=6),ЮниНед1+25,""),IF(AND(YEAR(ЮниНед1+32)=CalendarYear,MONTH(ЮниНед1+32)=6),ЮниНед1+32,""))</f>
        <v>43643</v>
      </c>
      <c r="P39" s="37">
        <f ca="1">IF(DAY(ЮниНед1)=1,IF(AND(YEAR(ЮниНед1+26)=CalendarYear,MONTH(ЮниНед1+26)=6),ЮниНед1+26,""),IF(AND(YEAR(ЮниНед1+33)=CalendarYear,MONTH(ЮниНед1+33)=6),ЮниНед1+33,""))</f>
        <v>43644</v>
      </c>
      <c r="Q39" s="37">
        <f ca="1">IF(DAY(ЮниНед1)=1,IF(AND(YEAR(ЮниНед1+27)=CalendarYear,MONTH(ЮниНед1+27)=6),ЮниНед1+27,""),IF(AND(YEAR(ЮниНед1+34)=CalendarYear,MONTH(ЮниНед1+34)=6),ЮниНед1+34,""))</f>
        <v>43645</v>
      </c>
      <c r="R39" s="37">
        <f ca="1">IF(DAY(ЮниНед1)=1,IF(AND(YEAR(ЮниНед1+28)=CalendarYear,MONTH(ЮниНед1+28)=6),ЮниНед1+28,""),IF(AND(YEAR(ЮниНед1+35)=CalendarYear,MONTH(ЮниНед1+35)=6),ЮниНед1+35,""))</f>
        <v>43646</v>
      </c>
      <c r="S39" s="24"/>
      <c r="T39" s="28"/>
      <c r="U39" s="37">
        <f ca="1">IF(DAY(ЮлиНед1)=1,IF(AND(YEAR(ЮлиНед1+22)=CalendarYear,MONTH(ЮлиНед1+22)=7),ЮлиНед1+22,""),IF(AND(YEAR(ЮлиНед1+29)=CalendarYear,MONTH(ЮлиНед1+29)=7),ЮлиНед1+29,""))</f>
        <v>43675</v>
      </c>
      <c r="V39" s="37">
        <f ca="1">IF(DAY(ЮлиНед1)=1,IF(AND(YEAR(ЮлиНед1+23)=CalendarYear,MONTH(ЮлиНед1+23)=7),ЮлиНед1+23,""),IF(AND(YEAR(ЮлиНед1+30)=CalendarYear,MONTH(ЮлиНед1+30)=7),ЮлиНед1+30,""))</f>
        <v>43676</v>
      </c>
      <c r="W39" s="37">
        <f ca="1">IF(DAY(ЮлиНед1)=1,IF(AND(YEAR(ЮлиНед1+24)=CalendarYear,MONTH(ЮлиНед1+24)=7),ЮлиНед1+24,""),IF(AND(YEAR(ЮлиНед1+31)=CalendarYear,MONTH(ЮлиНед1+31)=7),ЮлиНед1+31,""))</f>
        <v>43677</v>
      </c>
      <c r="X39" s="37" t="str">
        <f ca="1">IF(DAY(ЮлиНед1)=1,IF(AND(YEAR(ЮлиНед1+25)=CalendarYear,MONTH(ЮлиНед1+25)=7),ЮлиНед1+25,""),IF(AND(YEAR(ЮлиНед1+32)=CalendarYear,MONTH(ЮлиНед1+32)=7),ЮлиНед1+32,""))</f>
        <v/>
      </c>
      <c r="Y39" s="37" t="str">
        <f ca="1">IF(DAY(ЮлиНед1)=1,IF(AND(YEAR(ЮлиНед1+26)=CalendarYear,MONTH(ЮлиНед1+26)=7),ЮлиНед1+26,""),IF(AND(YEAR(ЮлиНед1+33)=CalendarYear,MONTH(ЮлиНед1+33)=7),ЮлиНед1+33,""))</f>
        <v/>
      </c>
      <c r="Z39" s="37" t="str">
        <f ca="1">IF(DAY(ЮлиНед1)=1,IF(AND(YEAR(ЮлиНед1+27)=CalendarYear,MONTH(ЮлиНед1+27)=7),ЮлиНед1+27,""),IF(AND(YEAR(ЮлиНед1+34)=CalendarYear,MONTH(ЮлиНед1+34)=7),ЮлиНед1+34,""))</f>
        <v/>
      </c>
      <c r="AA39" s="37" t="str">
        <f ca="1">IF(DAY(ЮлиНед1)=1,IF(AND(YEAR(ЮлиНед1+28)=CalendarYear,MONTH(ЮлиНед1+28)=7),ЮлиНед1+28,""),IF(AND(YEAR(ЮлиНед1+35)=CalendarYear,MONTH(ЮлиНед1+35)=7),ЮлиНед1+35,""))</f>
        <v/>
      </c>
      <c r="AB39" s="24"/>
      <c r="AC39" s="27"/>
      <c r="AD39" s="37">
        <f ca="1">IF(DAY(АвгНед1)=1,IF(AND(YEAR(АвгНед1+22)=CalendarYear,MONTH(АвгНед1+22)=8),АвгНед1+22,""),IF(AND(YEAR(АвгНед1+29)=CalendarYear,MONTH(АвгНед1+29)=8),АвгНед1+29,""))</f>
        <v>43703</v>
      </c>
      <c r="AE39" s="37">
        <f ca="1">IF(DAY(АвгНед1)=1,IF(AND(YEAR(АвгНед1+23)=CalendarYear,MONTH(АвгНед1+23)=8),АвгНед1+23,""),IF(AND(YEAR(АвгНед1+30)=CalendarYear,MONTH(АвгНед1+30)=8),АвгНед1+30,""))</f>
        <v>43704</v>
      </c>
      <c r="AF39" s="37">
        <f ca="1">IF(DAY(АвгНед1)=1,IF(AND(YEAR(АвгНед1+24)=CalendarYear,MONTH(АвгНед1+24)=8),АвгНед1+24,""),IF(AND(YEAR(АвгНед1+31)=CalendarYear,MONTH(АвгНед1+31)=8),АвгНед1+31,""))</f>
        <v>43705</v>
      </c>
      <c r="AG39" s="37">
        <f ca="1">IF(DAY(АвгНед1)=1,IF(AND(YEAR(АвгНед1+25)=CalendarYear,MONTH(АвгНед1+25)=8),АвгНед1+25,""),IF(AND(YEAR(АвгНед1+32)=CalendarYear,MONTH(АвгНед1+32)=8),АвгНед1+32,""))</f>
        <v>43706</v>
      </c>
      <c r="AH39" s="37">
        <f ca="1">IF(DAY(АвгНед1)=1,IF(AND(YEAR(АвгНед1+26)=CalendarYear,MONTH(АвгНед1+26)=8),АвгНед1+26,""),IF(AND(YEAR(АвгНед1+33)=CalendarYear,MONTH(АвгНед1+33)=8),АвгНед1+33,""))</f>
        <v>43707</v>
      </c>
      <c r="AI39" s="37">
        <f ca="1">IF(DAY(АвгНед1)=1,IF(AND(YEAR(АвгНед1+27)=CalendarYear,MONTH(АвгНед1+27)=8),АвгНед1+27,""),IF(AND(YEAR(АвгНед1+34)=CalendarYear,MONTH(АвгНед1+34)=8),АвгНед1+34,""))</f>
        <v>43708</v>
      </c>
      <c r="AJ39" s="37" t="str">
        <f ca="1">IF(DAY(АвгНед1)=1,IF(AND(YEAR(АвгНед1+28)=CalendarYear,MONTH(АвгНед1+28)=8),АвгНед1+28,""),IF(AND(YEAR(АвгНед1+35)=CalendarYear,MONTH(АвгНед1+35)=8),АвгНед1+35,""))</f>
        <v/>
      </c>
    </row>
    <row r="40" spans="3:36" x14ac:dyDescent="0.2">
      <c r="C40" s="37" t="str">
        <f ca="1">IF(DAY(МайНед1)=1,IF(AND(YEAR(МайНед1+29)=CalendarYear,MONTH(МайНед1+29)=5),МайНед1+29,""),IF(AND(YEAR(МайНед1+36)=CalendarYear,MONTH(МайНед1+36)=5),МайНед1+36,""))</f>
        <v/>
      </c>
      <c r="D40" s="37" t="str">
        <f ca="1">IF(DAY(МайНед1)=1,IF(AND(YEAR(МайНед1+30)=CalendarYear,MONTH(МайНед1+30)=5),МайНед1+30,""),IF(AND(YEAR(МайНед1+37)=CalendarYear,MONTH(МайНед1+37)=5),МайНед1+37,""))</f>
        <v/>
      </c>
      <c r="E40" s="37" t="str">
        <f ca="1">IF(DAY(МайНед1)=1,IF(AND(YEAR(МайНед1+31)=CalendarYear,MONTH(МайНед1+31)=5),МайНед1+31,""),IF(AND(YEAR(МайНед1+38)=CalendarYear,MONTH(МайНед1+38)=5),МайНед1+38,""))</f>
        <v/>
      </c>
      <c r="F40" s="37" t="str">
        <f ca="1">IF(DAY(МайНед1)=1,IF(AND(YEAR(МайНед1+32)=CalendarYear,MONTH(МайНед1+32)=5),МайНед1+32,""),IF(AND(YEAR(МайНед1+39)=CalendarYear,MONTH(МайНед1+39)=5),МайНед1+39,""))</f>
        <v/>
      </c>
      <c r="G40" s="37" t="str">
        <f ca="1">IF(DAY(МайНед1)=1,IF(AND(YEAR(МайНед1+33)=CalendarYear,MONTH(МайНед1+33)=5),МайНед1+33,""),IF(AND(YEAR(МайНед1+40)=CalendarYear,MONTH(МайНед1+40)=5),МайНед1+40,""))</f>
        <v/>
      </c>
      <c r="H40" s="37" t="str">
        <f ca="1">IF(DAY(МайНед1)=1,IF(AND(YEAR(МайНед1+34)=CalendarYear,MONTH(МайНед1+34)=5),МайНед1+34,""),IF(AND(YEAR(МайНед1+41)=CalendarYear,MONTH(МайНед1+41)=5),МайНед1+41,""))</f>
        <v/>
      </c>
      <c r="I40" s="37" t="str">
        <f ca="1">IF(DAY(МайНед1)=1,IF(AND(YEAR(МайНед1+35)=CalendarYear,MONTH(МайНед1+35)=5),МайНед1+35,""),IF(AND(YEAR(МайНед1+42)=CalendarYear,MONTH(МайНед1+42)=5),МайНед1+42,""))</f>
        <v/>
      </c>
      <c r="J40" s="24"/>
      <c r="K40" s="23"/>
      <c r="L40" s="37" t="str">
        <f ca="1">IF(DAY(ЮниНед1)=1,IF(AND(YEAR(ЮниНед1+29)=CalendarYear,MONTH(ЮниНед1+29)=6),ЮниНед1+29,""),IF(AND(YEAR(ЮниНед1+36)=CalendarYear,MONTH(ЮниНед1+36)=6),ЮниНед1+36,""))</f>
        <v/>
      </c>
      <c r="M40" s="37" t="str">
        <f ca="1">IF(DAY(ЮниНед1)=1,IF(AND(YEAR(ЮниНед1+30)=CalendarYear,MONTH(ЮниНед1+30)=6),ЮниНед1+30,""),IF(AND(YEAR(ЮниНед1+37)=CalendarYear,MONTH(ЮниНед1+37)=6),ЮниНед1+37,""))</f>
        <v/>
      </c>
      <c r="N40" s="37" t="str">
        <f ca="1">IF(DAY(ЮниНед1)=1,IF(AND(YEAR(ЮниНед1+31)=CalendarYear,MONTH(ЮниНед1+31)=6),ЮниНед1+31,""),IF(AND(YEAR(ЮниНед1+38)=CalendarYear,MONTH(ЮниНед1+38)=6),ЮниНед1+38,""))</f>
        <v/>
      </c>
      <c r="O40" s="37" t="str">
        <f ca="1">IF(DAY(ЮниНед1)=1,IF(AND(YEAR(ЮниНед1+32)=CalendarYear,MONTH(ЮниНед1+32)=6),ЮниНед1+32,""),IF(AND(YEAR(ЮниНед1+39)=CalendarYear,MONTH(ЮниНед1+39)=6),ЮниНед1+39,""))</f>
        <v/>
      </c>
      <c r="P40" s="37" t="str">
        <f ca="1">IF(DAY(ЮниНед1)=1,IF(AND(YEAR(ЮниНед1+33)=CalendarYear,MONTH(ЮниНед1+33)=6),ЮниНед1+33,""),IF(AND(YEAR(ЮниНед1+40)=CalendarYear,MONTH(ЮниНед1+40)=6),ЮниНед1+40,""))</f>
        <v/>
      </c>
      <c r="Q40" s="37" t="str">
        <f ca="1">IF(DAY(ЮниНед1)=1,IF(AND(YEAR(ЮниНед1+34)=CalendarYear,MONTH(ЮниНед1+34)=6),ЮниНед1+34,""),IF(AND(YEAR(ЮниНед1+41)=CalendarYear,MONTH(ЮниНед1+41)=6),ЮниНед1+41,""))</f>
        <v/>
      </c>
      <c r="R40" s="37" t="str">
        <f ca="1">IF(DAY(ЮниНед1)=1,IF(AND(YEAR(ЮниНед1+35)=CalendarYear,MONTH(ЮниНед1+35)=6),ЮниНед1+35,""),IF(AND(YEAR(ЮниНед1+42)=CalendarYear,MONTH(ЮниНед1+42)=6),ЮниНед1+42,""))</f>
        <v/>
      </c>
      <c r="S40" s="24"/>
      <c r="T40" s="28"/>
      <c r="U40" s="37" t="str">
        <f ca="1">IF(DAY(ЮлиНед1)=1,IF(AND(YEAR(ЮлиНед1+29)=CalendarYear,MONTH(ЮлиНед1+29)=7),ЮлиНед1+29,""),IF(AND(YEAR(ЮлиНед1+36)=CalendarYear,MONTH(ЮлиНед1+36)=7),ЮлиНед1+36,""))</f>
        <v/>
      </c>
      <c r="V40" s="37" t="str">
        <f ca="1">IF(DAY(ЮлиНед1)=1,IF(AND(YEAR(ЮлиНед1+30)=CalendarYear,MONTH(ЮлиНед1+30)=7),ЮлиНед1+30,""),IF(AND(YEAR(ЮлиНед1+37)=CalendarYear,MONTH(ЮлиНед1+37)=7),ЮлиНед1+37,""))</f>
        <v/>
      </c>
      <c r="W40" s="37" t="str">
        <f ca="1">IF(DAY(ЮлиНед1)=1,IF(AND(YEAR(ЮлиНед1+31)=CalendarYear,MONTH(ЮлиНед1+31)=7),ЮлиНед1+31,""),IF(AND(YEAR(ЮлиНед1+38)=CalendarYear,MONTH(ЮлиНед1+38)=7),ЮлиНед1+38,""))</f>
        <v/>
      </c>
      <c r="X40" s="37" t="str">
        <f ca="1">IF(DAY(ЮлиНед1)=1,IF(AND(YEAR(ЮлиНед1+32)=CalendarYear,MONTH(ЮлиНед1+32)=7),ЮлиНед1+32,""),IF(AND(YEAR(ЮлиНед1+39)=CalendarYear,MONTH(ЮлиНед1+39)=7),ЮлиНед1+39,""))</f>
        <v/>
      </c>
      <c r="Y40" s="37" t="str">
        <f ca="1">IF(DAY(ЮлиНед1)=1,IF(AND(YEAR(ЮлиНед1+33)=CalendarYear,MONTH(ЮлиНед1+33)=7),ЮлиНед1+33,""),IF(AND(YEAR(ЮлиНед1+40)=CalendarYear,MONTH(ЮлиНед1+40)=7),ЮлиНед1+40,""))</f>
        <v/>
      </c>
      <c r="Z40" s="37" t="str">
        <f ca="1">IF(DAY(ЮлиНед1)=1,IF(AND(YEAR(ЮлиНед1+34)=CalendarYear,MONTH(ЮлиНед1+34)=7),ЮлиНед1+34,""),IF(AND(YEAR(ЮлиНед1+41)=CalendarYear,MONTH(ЮлиНед1+41)=7),ЮлиНед1+41,""))</f>
        <v/>
      </c>
      <c r="AA40" s="37" t="str">
        <f ca="1">IF(DAY(ЮлиНед1)=1,IF(AND(YEAR(ЮлиНед1+35)=CalendarYear,MONTH(ЮлиНед1+35)=7),ЮлиНед1+35,""),IF(AND(YEAR(ЮлиНед1+42)=CalendarYear,MONTH(ЮлиНед1+42)=7),ЮлиНед1+42,""))</f>
        <v/>
      </c>
      <c r="AB40" s="24"/>
      <c r="AC40" s="27"/>
      <c r="AD40" s="37" t="str">
        <f ca="1">IF(DAY(АвгНед1)=1,IF(AND(YEAR(АвгНед1+29)=CalendarYear,MONTH(АвгНед1+29)=8),АвгНед1+29,""),IF(AND(YEAR(АвгНед1+36)=CalendarYear,MONTH(АвгНед1+36)=8),АвгНед1+36,""))</f>
        <v/>
      </c>
      <c r="AE40" s="37" t="str">
        <f ca="1">IF(DAY(АвгНед1)=1,IF(AND(YEAR(АвгНед1+30)=CalendarYear,MONTH(АвгНед1+30)=8),АвгНед1+30,""),IF(AND(YEAR(АвгНед1+37)=CalendarYear,MONTH(АвгНед1+37)=8),АвгНед1+37,""))</f>
        <v/>
      </c>
      <c r="AF40" s="37" t="str">
        <f ca="1">IF(DAY(АвгНед1)=1,IF(AND(YEAR(АвгНед1+31)=CalendarYear,MONTH(АвгНед1+31)=8),АвгНед1+31,""),IF(AND(YEAR(АвгНед1+38)=CalendarYear,MONTH(АвгНед1+38)=8),АвгНед1+38,""))</f>
        <v/>
      </c>
      <c r="AG40" s="37" t="str">
        <f ca="1">IF(DAY(АвгНед1)=1,IF(AND(YEAR(АвгНед1+32)=CalendarYear,MONTH(АвгНед1+32)=8),АвгНед1+32,""),IF(AND(YEAR(АвгНед1+39)=CalendarYear,MONTH(АвгНед1+39)=8),АвгНед1+39,""))</f>
        <v/>
      </c>
      <c r="AH40" s="37" t="str">
        <f ca="1">IF(DAY(АвгНед1)=1,IF(AND(YEAR(АвгНед1+33)=CalendarYear,MONTH(АвгНед1+33)=8),АвгНед1+33,""),IF(AND(YEAR(АвгНед1+40)=CalendarYear,MONTH(АвгНед1+40)=8),АвгНед1+40,""))</f>
        <v/>
      </c>
      <c r="AI40" s="37" t="str">
        <f ca="1">IF(DAY(АвгНед1)=1,IF(AND(YEAR(АвгНед1+34)=CalendarYear,MONTH(АвгНед1+34)=8),АвгНед1+34,""),IF(AND(YEAR(АвгНед1+41)=CalendarYear,MONTH(АвгНед1+41)=8),АвгНед1+41,""))</f>
        <v/>
      </c>
      <c r="AJ40" s="37" t="str">
        <f ca="1">IF(DAY(АвгНед1)=1,IF(AND(YEAR(АвгНед1+35)=CalendarYear,MONTH(АвгНед1+35)=8),АвгНед1+35,""),IF(AND(YEAR(АвгНед1+42)=CalendarYear,MONTH(АвгНед1+42)=8),АвгНед1+42,""))</f>
        <v/>
      </c>
    </row>
    <row r="41" spans="3:36" x14ac:dyDescent="0.2">
      <c r="C41" s="27"/>
      <c r="D41" s="27"/>
      <c r="E41" s="27"/>
      <c r="F41" s="27"/>
      <c r="G41" s="27"/>
      <c r="H41" s="27"/>
      <c r="I41" s="27"/>
      <c r="J41" s="26"/>
      <c r="K41" s="23"/>
      <c r="L41" s="27"/>
      <c r="M41" s="27"/>
      <c r="N41" s="27"/>
      <c r="O41" s="27"/>
      <c r="P41" s="27"/>
      <c r="Q41" s="27"/>
      <c r="R41" s="27"/>
      <c r="S41" s="26"/>
      <c r="T41" s="28"/>
      <c r="U41" s="23"/>
      <c r="V41" s="23"/>
      <c r="W41" s="23"/>
      <c r="X41" s="23"/>
      <c r="Y41" s="23"/>
      <c r="Z41" s="23"/>
      <c r="AA41" s="23"/>
      <c r="AB41" s="24"/>
      <c r="AC41" s="27"/>
      <c r="AD41" s="23"/>
      <c r="AE41" s="23"/>
      <c r="AF41" s="23"/>
      <c r="AG41" s="23"/>
      <c r="AH41" s="23"/>
      <c r="AI41" s="23"/>
      <c r="AJ41" s="23"/>
    </row>
    <row r="42" spans="3:36" ht="15.75" x14ac:dyDescent="0.25">
      <c r="C42" s="46">
        <f ca="1">DATE(CalendarYear,9,1)</f>
        <v>43709</v>
      </c>
      <c r="D42" s="46"/>
      <c r="E42" s="46"/>
      <c r="F42" s="46"/>
      <c r="G42" s="46"/>
      <c r="H42" s="46"/>
      <c r="I42" s="46"/>
      <c r="J42" s="20"/>
      <c r="K42" s="27"/>
      <c r="L42" s="46">
        <f ca="1">DATE(CalendarYear,10,1)</f>
        <v>43739</v>
      </c>
      <c r="M42" s="46"/>
      <c r="N42" s="46"/>
      <c r="O42" s="46"/>
      <c r="P42" s="46"/>
      <c r="Q42" s="46"/>
      <c r="R42" s="46"/>
      <c r="S42" s="20"/>
      <c r="T42" s="28"/>
      <c r="U42" s="46">
        <f ca="1">DATE(CalendarYear,11,1)</f>
        <v>43770</v>
      </c>
      <c r="V42" s="46"/>
      <c r="W42" s="46"/>
      <c r="X42" s="46"/>
      <c r="Y42" s="46"/>
      <c r="Z42" s="46"/>
      <c r="AA42" s="46"/>
      <c r="AB42" s="20"/>
      <c r="AC42" s="27"/>
      <c r="AD42" s="46">
        <f ca="1">DATE(CalendarYear,12,1)</f>
        <v>43800</v>
      </c>
      <c r="AE42" s="46"/>
      <c r="AF42" s="46"/>
      <c r="AG42" s="46"/>
      <c r="AH42" s="46"/>
      <c r="AI42" s="46"/>
      <c r="AJ42" s="46"/>
    </row>
    <row r="43" spans="3:36" ht="15" x14ac:dyDescent="0.25">
      <c r="C43" s="33" t="s">
        <v>0</v>
      </c>
      <c r="D43" s="33" t="s">
        <v>4</v>
      </c>
      <c r="E43" s="33" t="s">
        <v>1</v>
      </c>
      <c r="F43" s="33" t="s">
        <v>5</v>
      </c>
      <c r="G43" s="33" t="s">
        <v>0</v>
      </c>
      <c r="H43" s="36" t="s">
        <v>1</v>
      </c>
      <c r="I43" s="33" t="s">
        <v>8</v>
      </c>
      <c r="J43" s="22"/>
      <c r="K43" s="27"/>
      <c r="L43" s="34" t="s">
        <v>0</v>
      </c>
      <c r="M43" s="34" t="s">
        <v>4</v>
      </c>
      <c r="N43" s="34" t="s">
        <v>1</v>
      </c>
      <c r="O43" s="34" t="s">
        <v>5</v>
      </c>
      <c r="P43" s="34" t="s">
        <v>0</v>
      </c>
      <c r="Q43" s="36" t="s">
        <v>1</v>
      </c>
      <c r="R43" s="36" t="s">
        <v>8</v>
      </c>
      <c r="S43" s="22"/>
      <c r="T43" s="28"/>
      <c r="U43" s="35" t="s">
        <v>0</v>
      </c>
      <c r="V43" s="35" t="s">
        <v>4</v>
      </c>
      <c r="W43" s="35" t="s">
        <v>1</v>
      </c>
      <c r="X43" s="35" t="s">
        <v>5</v>
      </c>
      <c r="Y43" s="35" t="s">
        <v>0</v>
      </c>
      <c r="Z43" s="36" t="s">
        <v>1</v>
      </c>
      <c r="AA43" s="35" t="s">
        <v>8</v>
      </c>
      <c r="AB43" s="22"/>
      <c r="AC43" s="30"/>
      <c r="AD43" s="36" t="s">
        <v>0</v>
      </c>
      <c r="AE43" s="36" t="s">
        <v>4</v>
      </c>
      <c r="AF43" s="36" t="s">
        <v>1</v>
      </c>
      <c r="AG43" s="36" t="s">
        <v>5</v>
      </c>
      <c r="AH43" s="36" t="s">
        <v>0</v>
      </c>
      <c r="AI43" s="36" t="s">
        <v>1</v>
      </c>
      <c r="AJ43" s="36" t="s">
        <v>8</v>
      </c>
    </row>
    <row r="44" spans="3:36" x14ac:dyDescent="0.2">
      <c r="C44" s="37" t="str">
        <f ca="1">IF(DAY(СепНед1)=1,"",IF(AND(YEAR(СепНед1+1)=CalendarYear,MONTH(СепНед1+1)=9),СепНед1+1,""))</f>
        <v/>
      </c>
      <c r="D44" s="37" t="str">
        <f ca="1">IF(DAY(СепНед1)=1,"",IF(AND(YEAR(СепНед1+2)=CalendarYear,MONTH(СепНед1+2)=9),СепНед1+2,""))</f>
        <v/>
      </c>
      <c r="E44" s="37" t="str">
        <f ca="1">IF(DAY(СепНед1)=1,"",IF(AND(YEAR(СепНед1+3)=CalendarYear,MONTH(СепНед1+3)=9),СепНед1+3,""))</f>
        <v/>
      </c>
      <c r="F44" s="37" t="str">
        <f ca="1">IF(DAY(СепНед1)=1,"",IF(AND(YEAR(СепНед1+4)=CalendarYear,MONTH(СепНед1+4)=9),СепНед1+4,""))</f>
        <v/>
      </c>
      <c r="G44" s="37" t="str">
        <f ca="1">IF(DAY(СепНед1)=1,"",IF(AND(YEAR(СепНед1+5)=CalendarYear,MONTH(СепНед1+5)=9),СепНед1+5,""))</f>
        <v/>
      </c>
      <c r="H44" s="37" t="str">
        <f ca="1">IF(DAY(СепНед1)=1,"",IF(AND(YEAR(СепНед1+6)=CalendarYear,MONTH(СепНед1+6)=9),СепНед1+6,""))</f>
        <v/>
      </c>
      <c r="I44" s="37">
        <f ca="1">IF(DAY(СепНед1)=1,IF(AND(YEAR(СепНед1)=CalendarYear,MONTH(СепНед1)=9),СепНед1,""),IF(AND(YEAR(СепНед1+7)=CalendarYear,MONTH(СепНед1+7)=9),СепНед1+7,""))</f>
        <v>43709</v>
      </c>
      <c r="J44" s="24"/>
      <c r="K44" s="27"/>
      <c r="L44" s="37" t="str">
        <f ca="1">IF(DAY(ОктНед1)=1,"",IF(AND(YEAR(ОктНед1+1)=CalendarYear,MONTH(ОктНед1+1)=10),ОктНед1+1,""))</f>
        <v/>
      </c>
      <c r="M44" s="37">
        <f ca="1">IF(DAY(ОктНед1)=1,"",IF(AND(YEAR(ОктНед1+2)=CalendarYear,MONTH(ОктНед1+2)=10),ОктНед1+2,""))</f>
        <v>43739</v>
      </c>
      <c r="N44" s="37">
        <f ca="1">IF(DAY(ОктНед1)=1,"",IF(AND(YEAR(ОктНед1+3)=CalendarYear,MONTH(ОктНед1+3)=10),ОктНед1+3,""))</f>
        <v>43740</v>
      </c>
      <c r="O44" s="37">
        <f ca="1">IF(DAY(ОктНед1)=1,"",IF(AND(YEAR(ОктНед1+4)=CalendarYear,MONTH(ОктНед1+4)=10),ОктНед1+4,""))</f>
        <v>43741</v>
      </c>
      <c r="P44" s="37">
        <f ca="1">IF(DAY(ОктНед1)=1,"",IF(AND(YEAR(ОктНед1+5)=CalendarYear,MONTH(ОктНед1+5)=10),ОктНед1+5,""))</f>
        <v>43742</v>
      </c>
      <c r="Q44" s="37">
        <f ca="1">IF(DAY(ОктНед1)=1,"",IF(AND(YEAR(ОктНед1+6)=CalendarYear,MONTH(ОктНед1+6)=10),ОктНед1+6,""))</f>
        <v>43743</v>
      </c>
      <c r="R44" s="37">
        <f ca="1">IF(DAY(ОктНед1)=1,IF(AND(YEAR(ОктНед1)=CalendarYear,MONTH(ОктНед1)=10),ОктНед1,""),IF(AND(YEAR(ОктНед1+7)=CalendarYear,MONTH(ОктНед1+7)=10),ОктНед1+7,""))</f>
        <v>43744</v>
      </c>
      <c r="S44" s="24"/>
      <c r="T44" s="28"/>
      <c r="U44" s="37" t="str">
        <f ca="1">IF(DAY(НоеНед1)=1,"",IF(AND(YEAR(НоеНед1+1)=CalendarYear,MONTH(НоеНед1+1)=11),НоеНед1+1,""))</f>
        <v/>
      </c>
      <c r="V44" s="37" t="str">
        <f ca="1">IF(DAY(НоеНед1)=1,"",IF(AND(YEAR(НоеНед1+2)=CalendarYear,MONTH(НоеНед1+2)=11),НоеНед1+2,""))</f>
        <v/>
      </c>
      <c r="W44" s="37" t="str">
        <f ca="1">IF(DAY(НоеНед1)=1,"",IF(AND(YEAR(НоеНед1+3)=CalendarYear,MONTH(НоеНед1+3)=11),НоеНед1+3,""))</f>
        <v/>
      </c>
      <c r="X44" s="37" t="str">
        <f ca="1">IF(DAY(НоеНед1)=1,"",IF(AND(YEAR(НоеНед1+4)=CalendarYear,MONTH(НоеНед1+4)=11),НоеНед1+4,""))</f>
        <v/>
      </c>
      <c r="Y44" s="37">
        <f ca="1">IF(DAY(НоеНед1)=1,"",IF(AND(YEAR(НоеНед1+5)=CalendarYear,MONTH(НоеНед1+5)=11),НоеНед1+5,""))</f>
        <v>43770</v>
      </c>
      <c r="Z44" s="37">
        <f ca="1">IF(DAY(НоеНед1)=1,"",IF(AND(YEAR(НоеНед1+6)=CalendarYear,MONTH(НоеНед1+6)=11),НоеНед1+6,""))</f>
        <v>43771</v>
      </c>
      <c r="AA44" s="37">
        <f ca="1">IF(DAY(НоеНед1)=1,IF(AND(YEAR(НоеНед1)=CalendarYear,MONTH(НоеНед1)=11),НоеНед1,""),IF(AND(YEAR(НоеНед1+7)=CalendarYear,MONTH(НоеНед1+7)=11),НоеНед1+7,""))</f>
        <v>43772</v>
      </c>
      <c r="AB44" s="24"/>
      <c r="AC44" s="27"/>
      <c r="AD44" s="37" t="str">
        <f ca="1">IF(DAY(ДекНед1)=1,"",IF(AND(YEAR(ДекНед1+1)=CalendarYear,MONTH(ДекНед1+1)=12),ДекНед1+1,""))</f>
        <v/>
      </c>
      <c r="AE44" s="37" t="str">
        <f ca="1">IF(DAY(ДекНед1)=1,"",IF(AND(YEAR(ДекНед1+2)=CalendarYear,MONTH(ДекНед1+2)=12),ДекНед1+2,""))</f>
        <v/>
      </c>
      <c r="AF44" s="37" t="str">
        <f ca="1">IF(DAY(ДекНед1)=1,"",IF(AND(YEAR(ДекНед1+3)=CalendarYear,MONTH(ДекНед1+3)=12),ДекНед1+3,""))</f>
        <v/>
      </c>
      <c r="AG44" s="37" t="str">
        <f ca="1">IF(DAY(ДекНед1)=1,"",IF(AND(YEAR(ДекНед1+4)=CalendarYear,MONTH(ДекНед1+4)=12),ДекНед1+4,""))</f>
        <v/>
      </c>
      <c r="AH44" s="37" t="str">
        <f ca="1">IF(DAY(ДекНед1)=1,"",IF(AND(YEAR(ДекНед1+5)=CalendarYear,MONTH(ДекНед1+5)=12),ДекНед1+5,""))</f>
        <v/>
      </c>
      <c r="AI44" s="37" t="str">
        <f ca="1">IF(DAY(ДекНед1)=1,"",IF(AND(YEAR(ДекНед1+6)=CalendarYear,MONTH(ДекНед1+6)=12),ДекНед1+6,""))</f>
        <v/>
      </c>
      <c r="AJ44" s="37">
        <f ca="1">IF(DAY(ДекНед1)=1,IF(AND(YEAR(ДекНед1)=CalendarYear,MONTH(ДекНед1)=12),ДекНед1,""),IF(AND(YEAR(ДекНед1+7)=CalendarYear,MONTH(ДекНед1+7)=12),ДекНед1+7,""))</f>
        <v>43800</v>
      </c>
    </row>
    <row r="45" spans="3:36" x14ac:dyDescent="0.2">
      <c r="C45" s="37">
        <f ca="1">IF(DAY(СепНед1)=1,IF(AND(YEAR(СепНед1+1)=CalendarYear,MONTH(СепНед1+1)=9),СепНед1+1,""),IF(AND(YEAR(СепНед1+8)=CalendarYear,MONTH(СепНед1+8)=9),СепНед1+8,""))</f>
        <v>43710</v>
      </c>
      <c r="D45" s="37">
        <f ca="1">IF(DAY(СепНед1)=1,IF(AND(YEAR(СепНед1+2)=CalendarYear,MONTH(СепНед1+2)=9),СепНед1+2,""),IF(AND(YEAR(СепНед1+9)=CalendarYear,MONTH(СепНед1+9)=9),СепНед1+9,""))</f>
        <v>43711</v>
      </c>
      <c r="E45" s="37">
        <f ca="1">IF(DAY(СепНед1)=1,IF(AND(YEAR(СепНед1+3)=CalendarYear,MONTH(СепНед1+3)=9),СепНед1+3,""),IF(AND(YEAR(СепНед1+10)=CalendarYear,MONTH(СепНед1+10)=9),СепНед1+10,""))</f>
        <v>43712</v>
      </c>
      <c r="F45" s="37">
        <f ca="1">IF(DAY(СепНед1)=1,IF(AND(YEAR(СепНед1+4)=CalendarYear,MONTH(СепНед1+4)=9),СепНед1+4,""),IF(AND(YEAR(СепНед1+11)=CalendarYear,MONTH(СепНед1+11)=9),СепНед1+11,""))</f>
        <v>43713</v>
      </c>
      <c r="G45" s="37">
        <f ca="1">IF(DAY(СепНед1)=1,IF(AND(YEAR(СепНед1+5)=CalendarYear,MONTH(СепНед1+5)=9),СепНед1+5,""),IF(AND(YEAR(СепНед1+12)=CalendarYear,MONTH(СепНед1+12)=9),СепНед1+12,""))</f>
        <v>43714</v>
      </c>
      <c r="H45" s="37">
        <f ca="1">IF(DAY(СепНед1)=1,IF(AND(YEAR(СепНед1+6)=CalendarYear,MONTH(СепНед1+6)=9),СепНед1+6,""),IF(AND(YEAR(СепНед1+13)=CalendarYear,MONTH(СепНед1+13)=9),СепНед1+13,""))</f>
        <v>43715</v>
      </c>
      <c r="I45" s="37">
        <f ca="1">IF(DAY(СепНед1)=1,IF(AND(YEAR(СепНед1+7)=CalendarYear,MONTH(СепНед1+7)=9),СепНед1+7,""),IF(AND(YEAR(СепНед1+14)=CalendarYear,MONTH(СепНед1+14)=9),СепНед1+14,""))</f>
        <v>43716</v>
      </c>
      <c r="J45" s="24"/>
      <c r="K45" s="27"/>
      <c r="L45" s="37">
        <f ca="1">IF(DAY(ОктНед1)=1,IF(AND(YEAR(ОктНед1+1)=CalendarYear,MONTH(ОктНед1+1)=10),ОктНед1+1,""),IF(AND(YEAR(ОктНед1+8)=CalendarYear,MONTH(ОктНед1+8)=10),ОктНед1+8,""))</f>
        <v>43745</v>
      </c>
      <c r="M45" s="37">
        <f ca="1">IF(DAY(ОктНед1)=1,IF(AND(YEAR(ОктНед1+2)=CalendarYear,MONTH(ОктНед1+2)=10),ОктНед1+2,""),IF(AND(YEAR(ОктНед1+9)=CalendarYear,MONTH(ОктНед1+9)=10),ОктНед1+9,""))</f>
        <v>43746</v>
      </c>
      <c r="N45" s="37">
        <f ca="1">IF(DAY(ОктНед1)=1,IF(AND(YEAR(ОктНед1+3)=CalendarYear,MONTH(ОктНед1+3)=10),ОктНед1+3,""),IF(AND(YEAR(ОктНед1+10)=CalendarYear,MONTH(ОктНед1+10)=10),ОктНед1+10,""))</f>
        <v>43747</v>
      </c>
      <c r="O45" s="37">
        <f ca="1">IF(DAY(ОктНед1)=1,IF(AND(YEAR(ОктНед1+4)=CalendarYear,MONTH(ОктНед1+4)=10),ОктНед1+4,""),IF(AND(YEAR(ОктНед1+11)=CalendarYear,MONTH(ОктНед1+11)=10),ОктНед1+11,""))</f>
        <v>43748</v>
      </c>
      <c r="P45" s="37">
        <f ca="1">IF(DAY(ОктНед1)=1,IF(AND(YEAR(ОктНед1+5)=CalendarYear,MONTH(ОктНед1+5)=10),ОктНед1+5,""),IF(AND(YEAR(ОктНед1+12)=CalendarYear,MONTH(ОктНед1+12)=10),ОктНед1+12,""))</f>
        <v>43749</v>
      </c>
      <c r="Q45" s="37">
        <f ca="1">IF(DAY(ОктНед1)=1,IF(AND(YEAR(ОктНед1+6)=CalendarYear,MONTH(ОктНед1+6)=10),ОктНед1+6,""),IF(AND(YEAR(ОктНед1+13)=CalendarYear,MONTH(ОктНед1+13)=10),ОктНед1+13,""))</f>
        <v>43750</v>
      </c>
      <c r="R45" s="37">
        <f ca="1">IF(DAY(ОктНед1)=1,IF(AND(YEAR(ОктНед1+7)=CalendarYear,MONTH(ОктНед1+7)=10),ОктНед1+7,""),IF(AND(YEAR(ОктНед1+14)=CalendarYear,MONTH(ОктНед1+14)=10),ОктНед1+14,""))</f>
        <v>43751</v>
      </c>
      <c r="S45" s="24"/>
      <c r="T45" s="28"/>
      <c r="U45" s="37">
        <f ca="1">IF(DAY(НоеНед1)=1,IF(AND(YEAR(НоеНед1+1)=CalendarYear,MONTH(НоеНед1+1)=11),НоеНед1+1,""),IF(AND(YEAR(НоеНед1+8)=CalendarYear,MONTH(НоеНед1+8)=11),НоеНед1+8,""))</f>
        <v>43773</v>
      </c>
      <c r="V45" s="37">
        <f ca="1">IF(DAY(НоеНед1)=1,IF(AND(YEAR(НоеНед1+2)=CalendarYear,MONTH(НоеНед1+2)=11),НоеНед1+2,""),IF(AND(YEAR(НоеНед1+9)=CalendarYear,MONTH(НоеНед1+9)=11),НоеНед1+9,""))</f>
        <v>43774</v>
      </c>
      <c r="W45" s="37">
        <f ca="1">IF(DAY(НоеНед1)=1,IF(AND(YEAR(НоеНед1+3)=CalendarYear,MONTH(НоеНед1+3)=11),НоеНед1+3,""),IF(AND(YEAR(НоеНед1+10)=CalendarYear,MONTH(НоеНед1+10)=11),НоеНед1+10,""))</f>
        <v>43775</v>
      </c>
      <c r="X45" s="37">
        <f ca="1">IF(DAY(НоеНед1)=1,IF(AND(YEAR(НоеНед1+4)=CalendarYear,MONTH(НоеНед1+4)=11),НоеНед1+4,""),IF(AND(YEAR(НоеНед1+11)=CalendarYear,MONTH(НоеНед1+11)=11),НоеНед1+11,""))</f>
        <v>43776</v>
      </c>
      <c r="Y45" s="37">
        <f ca="1">IF(DAY(НоеНед1)=1,IF(AND(YEAR(НоеНед1+5)=CalendarYear,MONTH(НоеНед1+5)=11),НоеНед1+5,""),IF(AND(YEAR(НоеНед1+12)=CalendarYear,MONTH(НоеНед1+12)=11),НоеНед1+12,""))</f>
        <v>43777</v>
      </c>
      <c r="Z45" s="37">
        <f ca="1">IF(DAY(НоеНед1)=1,IF(AND(YEAR(НоеНед1+6)=CalendarYear,MONTH(НоеНед1+6)=11),НоеНед1+6,""),IF(AND(YEAR(НоеНед1+13)=CalendarYear,MONTH(НоеНед1+13)=11),НоеНед1+13,""))</f>
        <v>43778</v>
      </c>
      <c r="AA45" s="37">
        <f ca="1">IF(DAY(НоеНед1)=1,IF(AND(YEAR(НоеНед1+7)=CalendarYear,MONTH(НоеНед1+7)=11),НоеНед1+7,""),IF(AND(YEAR(НоеНед1+14)=CalendarYear,MONTH(НоеНед1+14)=11),НоеНед1+14,""))</f>
        <v>43779</v>
      </c>
      <c r="AB45" s="24"/>
      <c r="AC45" s="27"/>
      <c r="AD45" s="37">
        <f ca="1">IF(DAY(ДекНед1)=1,IF(AND(YEAR(ДекНед1+1)=CalendarYear,MONTH(ДекНед1+1)=12),ДекНед1+1,""),IF(AND(YEAR(ДекНед1+8)=CalendarYear,MONTH(ДекНед1+8)=12),ДекНед1+8,""))</f>
        <v>43801</v>
      </c>
      <c r="AE45" s="37">
        <f ca="1">IF(DAY(ДекНед1)=1,IF(AND(YEAR(ДекНед1+2)=CalendarYear,MONTH(ДекНед1+2)=12),ДекНед1+2,""),IF(AND(YEAR(ДекНед1+9)=CalendarYear,MONTH(ДекНед1+9)=12),ДекНед1+9,""))</f>
        <v>43802</v>
      </c>
      <c r="AF45" s="37">
        <f ca="1">IF(DAY(ДекНед1)=1,IF(AND(YEAR(ДекНед1+3)=CalendarYear,MONTH(ДекНед1+3)=12),ДекНед1+3,""),IF(AND(YEAR(ДекНед1+10)=CalendarYear,MONTH(ДекНед1+10)=12),ДекНед1+10,""))</f>
        <v>43803</v>
      </c>
      <c r="AG45" s="37">
        <f ca="1">IF(DAY(ДекНед1)=1,IF(AND(YEAR(ДекНед1+4)=CalendarYear,MONTH(ДекНед1+4)=12),ДекНед1+4,""),IF(AND(YEAR(ДекНед1+11)=CalendarYear,MONTH(ДекНед1+11)=12),ДекНед1+11,""))</f>
        <v>43804</v>
      </c>
      <c r="AH45" s="37">
        <f ca="1">IF(DAY(ДекНед1)=1,IF(AND(YEAR(ДекНед1+5)=CalendarYear,MONTH(ДекНед1+5)=12),ДекНед1+5,""),IF(AND(YEAR(ДекНед1+12)=CalendarYear,MONTH(ДекНед1+12)=12),ДекНед1+12,""))</f>
        <v>43805</v>
      </c>
      <c r="AI45" s="37">
        <f ca="1">IF(DAY(ДекНед1)=1,IF(AND(YEAR(ДекНед1+6)=CalendarYear,MONTH(ДекНед1+6)=12),ДекНед1+6,""),IF(AND(YEAR(ДекНед1+13)=CalendarYear,MONTH(ДекНед1+13)=12),ДекНед1+13,""))</f>
        <v>43806</v>
      </c>
      <c r="AJ45" s="37">
        <f ca="1">IF(DAY(ДекНед1)=1,IF(AND(YEAR(ДекНед1+7)=CalendarYear,MONTH(ДекНед1+7)=12),ДекНед1+7,""),IF(AND(YEAR(ДекНед1+14)=CalendarYear,MONTH(ДекНед1+14)=12),ДекНед1+14,""))</f>
        <v>43807</v>
      </c>
    </row>
    <row r="46" spans="3:36" x14ac:dyDescent="0.2">
      <c r="C46" s="37">
        <f ca="1">IF(DAY(СепНед1)=1,IF(AND(YEAR(СепНед1+8)=CalendarYear,MONTH(СепНед1+8)=9),СепНед1+8,""),IF(AND(YEAR(СепНед1+15)=CalendarYear,MONTH(СепНед1+15)=9),СепНед1+15,""))</f>
        <v>43717</v>
      </c>
      <c r="D46" s="37">
        <f ca="1">IF(DAY(СепНед1)=1,IF(AND(YEAR(СепНед1+9)=CalendarYear,MONTH(СепНед1+9)=9),СепНед1+9,""),IF(AND(YEAR(СепНед1+16)=CalendarYear,MONTH(СепНед1+16)=9),СепНед1+16,""))</f>
        <v>43718</v>
      </c>
      <c r="E46" s="37">
        <f ca="1">IF(DAY(СепНед1)=1,IF(AND(YEAR(СепНед1+10)=CalendarYear,MONTH(СепНед1+10)=9),СепНед1+10,""),IF(AND(YEAR(СепНед1+17)=CalendarYear,MONTH(СепНед1+17)=9),СепНед1+17,""))</f>
        <v>43719</v>
      </c>
      <c r="F46" s="37">
        <f ca="1">IF(DAY(СепНед1)=1,IF(AND(YEAR(СепНед1+11)=CalendarYear,MONTH(СепНед1+11)=9),СепНед1+11,""),IF(AND(YEAR(СепНед1+18)=CalendarYear,MONTH(СепНед1+18)=9),СепНед1+18,""))</f>
        <v>43720</v>
      </c>
      <c r="G46" s="37">
        <f ca="1">IF(DAY(СепНед1)=1,IF(AND(YEAR(СепНед1+12)=CalendarYear,MONTH(СепНед1+12)=9),СепНед1+12,""),IF(AND(YEAR(СепНед1+19)=CalendarYear,MONTH(СепНед1+19)=9),СепНед1+19,""))</f>
        <v>43721</v>
      </c>
      <c r="H46" s="37">
        <f ca="1">IF(DAY(СепНед1)=1,IF(AND(YEAR(СепНед1+13)=CalendarYear,MONTH(СепНед1+13)=9),СепНед1+13,""),IF(AND(YEAR(СепНед1+20)=CalendarYear,MONTH(СепНед1+20)=9),СепНед1+20,""))</f>
        <v>43722</v>
      </c>
      <c r="I46" s="37">
        <f ca="1">IF(DAY(СепНед1)=1,IF(AND(YEAR(СепНед1+14)=CalendarYear,MONTH(СепНед1+14)=9),СепНед1+14,""),IF(AND(YEAR(СепНед1+21)=CalendarYear,MONTH(СепНед1+21)=9),СепНед1+21,""))</f>
        <v>43723</v>
      </c>
      <c r="J46" s="24"/>
      <c r="K46" s="27"/>
      <c r="L46" s="37">
        <f ca="1">IF(DAY(ОктНед1)=1,IF(AND(YEAR(ОктНед1+8)=CalendarYear,MONTH(ОктНед1+8)=10),ОктНед1+8,""),IF(AND(YEAR(ОктНед1+15)=CalendarYear,MONTH(ОктНед1+15)=10),ОктНед1+15,""))</f>
        <v>43752</v>
      </c>
      <c r="M46" s="37">
        <f ca="1">IF(DAY(ОктНед1)=1,IF(AND(YEAR(ОктНед1+9)=CalendarYear,MONTH(ОктНед1+9)=10),ОктНед1+9,""),IF(AND(YEAR(ОктНед1+16)=CalendarYear,MONTH(ОктНед1+16)=10),ОктНед1+16,""))</f>
        <v>43753</v>
      </c>
      <c r="N46" s="37">
        <f ca="1">IF(DAY(ОктНед1)=1,IF(AND(YEAR(ОктНед1+10)=CalendarYear,MONTH(ОктНед1+10)=10),ОктНед1+10,""),IF(AND(YEAR(ОктНед1+17)=CalendarYear,MONTH(ОктНед1+17)=10),ОктНед1+17,""))</f>
        <v>43754</v>
      </c>
      <c r="O46" s="37">
        <f ca="1">IF(DAY(ОктНед1)=1,IF(AND(YEAR(ОктНед1+11)=CalendarYear,MONTH(ОктНед1+11)=10),ОктНед1+11,""),IF(AND(YEAR(ОктНед1+18)=CalendarYear,MONTH(ОктНед1+18)=10),ОктНед1+18,""))</f>
        <v>43755</v>
      </c>
      <c r="P46" s="37">
        <f ca="1">IF(DAY(ОктНед1)=1,IF(AND(YEAR(ОктНед1+12)=CalendarYear,MONTH(ОктНед1+12)=10),ОктНед1+12,""),IF(AND(YEAR(ОктНед1+19)=CalendarYear,MONTH(ОктНед1+19)=10),ОктНед1+19,""))</f>
        <v>43756</v>
      </c>
      <c r="Q46" s="37">
        <f ca="1">IF(DAY(ОктНед1)=1,IF(AND(YEAR(ОктНед1+13)=CalendarYear,MONTH(ОктНед1+13)=10),ОктНед1+13,""),IF(AND(YEAR(ОктНед1+20)=CalendarYear,MONTH(ОктНед1+20)=10),ОктНед1+20,""))</f>
        <v>43757</v>
      </c>
      <c r="R46" s="37">
        <f ca="1">IF(DAY(ОктНед1)=1,IF(AND(YEAR(ОктНед1+14)=CalendarYear,MONTH(ОктНед1+14)=10),ОктНед1+14,""),IF(AND(YEAR(ОктНед1+21)=CalendarYear,MONTH(ОктНед1+21)=10),ОктНед1+21,""))</f>
        <v>43758</v>
      </c>
      <c r="S46" s="24"/>
      <c r="T46" s="28"/>
      <c r="U46" s="37">
        <f ca="1">IF(DAY(НоеНед1)=1,IF(AND(YEAR(НоеНед1+8)=CalendarYear,MONTH(НоеНед1+8)=11),НоеНед1+8,""),IF(AND(YEAR(НоеНед1+15)=CalendarYear,MONTH(НоеНед1+15)=11),НоеНед1+15,""))</f>
        <v>43780</v>
      </c>
      <c r="V46" s="37">
        <f ca="1">IF(DAY(НоеНед1)=1,IF(AND(YEAR(НоеНед1+9)=CalendarYear,MONTH(НоеНед1+9)=11),НоеНед1+9,""),IF(AND(YEAR(НоеНед1+16)=CalendarYear,MONTH(НоеНед1+16)=11),НоеНед1+16,""))</f>
        <v>43781</v>
      </c>
      <c r="W46" s="37">
        <f ca="1">IF(DAY(НоеНед1)=1,IF(AND(YEAR(НоеНед1+10)=CalendarYear,MONTH(НоеНед1+10)=11),НоеНед1+10,""),IF(AND(YEAR(НоеНед1+17)=CalendarYear,MONTH(НоеНед1+17)=11),НоеНед1+17,""))</f>
        <v>43782</v>
      </c>
      <c r="X46" s="37">
        <f ca="1">IF(DAY(НоеНед1)=1,IF(AND(YEAR(НоеНед1+11)=CalendarYear,MONTH(НоеНед1+11)=11),НоеНед1+11,""),IF(AND(YEAR(НоеНед1+18)=CalendarYear,MONTH(НоеНед1+18)=11),НоеНед1+18,""))</f>
        <v>43783</v>
      </c>
      <c r="Y46" s="37">
        <f ca="1">IF(DAY(НоеНед1)=1,IF(AND(YEAR(НоеНед1+12)=CalendarYear,MONTH(НоеНед1+12)=11),НоеНед1+12,""),IF(AND(YEAR(НоеНед1+19)=CalendarYear,MONTH(НоеНед1+19)=11),НоеНед1+19,""))</f>
        <v>43784</v>
      </c>
      <c r="Z46" s="37">
        <f ca="1">IF(DAY(НоеНед1)=1,IF(AND(YEAR(НоеНед1+13)=CalendarYear,MONTH(НоеНед1+13)=11),НоеНед1+13,""),IF(AND(YEAR(НоеНед1+20)=CalendarYear,MONTH(НоеНед1+20)=11),НоеНед1+20,""))</f>
        <v>43785</v>
      </c>
      <c r="AA46" s="37">
        <f ca="1">IF(DAY(НоеНед1)=1,IF(AND(YEAR(НоеНед1+14)=CalendarYear,MONTH(НоеНед1+14)=11),НоеНед1+14,""),IF(AND(YEAR(НоеНед1+21)=CalendarYear,MONTH(НоеНед1+21)=11),НоеНед1+21,""))</f>
        <v>43786</v>
      </c>
      <c r="AB46" s="24"/>
      <c r="AC46" s="27"/>
      <c r="AD46" s="37">
        <f ca="1">IF(DAY(ДекНед1)=1,IF(AND(YEAR(ДекНед1+8)=CalendarYear,MONTH(ДекНед1+8)=12),ДекНед1+8,""),IF(AND(YEAR(ДекНед1+15)=CalendarYear,MONTH(ДекНед1+15)=12),ДекНед1+15,""))</f>
        <v>43808</v>
      </c>
      <c r="AE46" s="37">
        <f ca="1">IF(DAY(ДекНед1)=1,IF(AND(YEAR(ДекНед1+9)=CalendarYear,MONTH(ДекНед1+9)=12),ДекНед1+9,""),IF(AND(YEAR(ДекНед1+16)=CalendarYear,MONTH(ДекНед1+16)=12),ДекНед1+16,""))</f>
        <v>43809</v>
      </c>
      <c r="AF46" s="37">
        <f ca="1">IF(DAY(ДекНед1)=1,IF(AND(YEAR(ДекНед1+10)=CalendarYear,MONTH(ДекНед1+10)=12),ДекНед1+10,""),IF(AND(YEAR(ДекНед1+17)=CalendarYear,MONTH(ДекНед1+17)=12),ДекНед1+17,""))</f>
        <v>43810</v>
      </c>
      <c r="AG46" s="37">
        <f ca="1">IF(DAY(ДекНед1)=1,IF(AND(YEAR(ДекНед1+11)=CalendarYear,MONTH(ДекНед1+11)=12),ДекНед1+11,""),IF(AND(YEAR(ДекНед1+18)=CalendarYear,MONTH(ДекНед1+18)=12),ДекНед1+18,""))</f>
        <v>43811</v>
      </c>
      <c r="AH46" s="37">
        <f ca="1">IF(DAY(ДекНед1)=1,IF(AND(YEAR(ДекНед1+12)=CalendarYear,MONTH(ДекНед1+12)=12),ДекНед1+12,""),IF(AND(YEAR(ДекНед1+19)=CalendarYear,MONTH(ДекНед1+19)=12),ДекНед1+19,""))</f>
        <v>43812</v>
      </c>
      <c r="AI46" s="37">
        <f ca="1">IF(DAY(ДекНед1)=1,IF(AND(YEAR(ДекНед1+13)=CalendarYear,MONTH(ДекНед1+13)=12),ДекНед1+13,""),IF(AND(YEAR(ДекНед1+20)=CalendarYear,MONTH(ДекНед1+20)=12),ДекНед1+20,""))</f>
        <v>43813</v>
      </c>
      <c r="AJ46" s="37">
        <f ca="1">IF(DAY(ДекНед1)=1,IF(AND(YEAR(ДекНед1+14)=CalendarYear,MONTH(ДекНед1+14)=12),ДекНед1+14,""),IF(AND(YEAR(ДекНед1+21)=CalendarYear,MONTH(ДекНед1+21)=12),ДекНед1+21,""))</f>
        <v>43814</v>
      </c>
    </row>
    <row r="47" spans="3:36" x14ac:dyDescent="0.2">
      <c r="C47" s="37">
        <f ca="1">IF(DAY(СепНед1)=1,IF(AND(YEAR(СепНед1+15)=CalendarYear,MONTH(СепНед1+15)=9),СепНед1+15,""),IF(AND(YEAR(СепНед1+22)=CalendarYear,MONTH(СепНед1+22)=9),СепНед1+22,""))</f>
        <v>43724</v>
      </c>
      <c r="D47" s="37">
        <f ca="1">IF(DAY(СепНед1)=1,IF(AND(YEAR(СепНед1+16)=CalendarYear,MONTH(СепНед1+16)=9),СепНед1+16,""),IF(AND(YEAR(СепНед1+23)=CalendarYear,MONTH(СепНед1+23)=9),СепНед1+23,""))</f>
        <v>43725</v>
      </c>
      <c r="E47" s="37">
        <f ca="1">IF(DAY(СепНед1)=1,IF(AND(YEAR(СепНед1+17)=CalendarYear,MONTH(СепНед1+17)=9),СепНед1+17,""),IF(AND(YEAR(СепНед1+24)=CalendarYear,MONTH(СепНед1+24)=9),СепНед1+24,""))</f>
        <v>43726</v>
      </c>
      <c r="F47" s="37">
        <f ca="1">IF(DAY(СепНед1)=1,IF(AND(YEAR(СепНед1+18)=CalendarYear,MONTH(СепНед1+18)=9),СепНед1+18,""),IF(AND(YEAR(СепНед1+25)=CalendarYear,MONTH(СепНед1+25)=9),СепНед1+25,""))</f>
        <v>43727</v>
      </c>
      <c r="G47" s="37">
        <f ca="1">IF(DAY(СепНед1)=1,IF(AND(YEAR(СепНед1+19)=CalendarYear,MONTH(СепНед1+19)=9),СепНед1+19,""),IF(AND(YEAR(СепНед1+26)=CalendarYear,MONTH(СепНед1+26)=9),СепНед1+26,""))</f>
        <v>43728</v>
      </c>
      <c r="H47" s="37">
        <f ca="1">IF(DAY(СепНед1)=1,IF(AND(YEAR(СепНед1+20)=CalendarYear,MONTH(СепНед1+20)=9),СепНед1+20,""),IF(AND(YEAR(СепНед1+27)=CalendarYear,MONTH(СепНед1+27)=9),СепНед1+27,""))</f>
        <v>43729</v>
      </c>
      <c r="I47" s="37">
        <f ca="1">IF(DAY(СепНед1)=1,IF(AND(YEAR(СепНед1+21)=CalendarYear,MONTH(СепНед1+21)=9),СепНед1+21,""),IF(AND(YEAR(СепНед1+28)=CalendarYear,MONTH(СепНед1+28)=9),СепНед1+28,""))</f>
        <v>43730</v>
      </c>
      <c r="J47" s="24"/>
      <c r="K47" s="27"/>
      <c r="L47" s="37">
        <f ca="1">IF(DAY(ОктНед1)=1,IF(AND(YEAR(ОктНед1+15)=CalendarYear,MONTH(ОктНед1+15)=10),ОктНед1+15,""),IF(AND(YEAR(ОктНед1+22)=CalendarYear,MONTH(ОктНед1+22)=10),ОктНед1+22,""))</f>
        <v>43759</v>
      </c>
      <c r="M47" s="37">
        <f ca="1">IF(DAY(ОктНед1)=1,IF(AND(YEAR(ОктНед1+16)=CalendarYear,MONTH(ОктНед1+16)=10),ОктНед1+16,""),IF(AND(YEAR(ОктНед1+23)=CalendarYear,MONTH(ОктНед1+23)=10),ОктНед1+23,""))</f>
        <v>43760</v>
      </c>
      <c r="N47" s="37">
        <f ca="1">IF(DAY(ОктНед1)=1,IF(AND(YEAR(ОктНед1+17)=CalendarYear,MONTH(ОктНед1+17)=10),ОктНед1+17,""),IF(AND(YEAR(ОктНед1+24)=CalendarYear,MONTH(ОктНед1+24)=10),ОктНед1+24,""))</f>
        <v>43761</v>
      </c>
      <c r="O47" s="37">
        <f ca="1">IF(DAY(ОктНед1)=1,IF(AND(YEAR(ОктНед1+18)=CalendarYear,MONTH(ОктНед1+18)=10),ОктНед1+18,""),IF(AND(YEAR(ОктНед1+25)=CalendarYear,MONTH(ОктНед1+25)=10),ОктНед1+25,""))</f>
        <v>43762</v>
      </c>
      <c r="P47" s="37">
        <f ca="1">IF(DAY(ОктНед1)=1,IF(AND(YEAR(ОктНед1+19)=CalendarYear,MONTH(ОктНед1+19)=10),ОктНед1+19,""),IF(AND(YEAR(ОктНед1+26)=CalendarYear,MONTH(ОктНед1+26)=10),ОктНед1+26,""))</f>
        <v>43763</v>
      </c>
      <c r="Q47" s="37">
        <f ca="1">IF(DAY(ОктНед1)=1,IF(AND(YEAR(ОктНед1+20)=CalendarYear,MONTH(ОктНед1+20)=10),ОктНед1+20,""),IF(AND(YEAR(ОктНед1+27)=CalendarYear,MONTH(ОктНед1+27)=10),ОктНед1+27,""))</f>
        <v>43764</v>
      </c>
      <c r="R47" s="37">
        <f ca="1">IF(DAY(ОктНед1)=1,IF(AND(YEAR(ОктНед1+21)=CalendarYear,MONTH(ОктНед1+21)=10),ОктНед1+21,""),IF(AND(YEAR(ОктНед1+28)=CalendarYear,MONTH(ОктНед1+28)=10),ОктНед1+28,""))</f>
        <v>43765</v>
      </c>
      <c r="S47" s="24"/>
      <c r="T47" s="28"/>
      <c r="U47" s="37">
        <f ca="1">IF(DAY(НоеНед1)=1,IF(AND(YEAR(НоеНед1+15)=CalendarYear,MONTH(НоеНед1+15)=11),НоеНед1+15,""),IF(AND(YEAR(НоеНед1+22)=CalendarYear,MONTH(НоеНед1+22)=11),НоеНед1+22,""))</f>
        <v>43787</v>
      </c>
      <c r="V47" s="37">
        <f ca="1">IF(DAY(НоеНед1)=1,IF(AND(YEAR(НоеНед1+16)=CalendarYear,MONTH(НоеНед1+16)=11),НоеНед1+16,""),IF(AND(YEAR(НоеНед1+23)=CalendarYear,MONTH(НоеНед1+23)=11),НоеНед1+23,""))</f>
        <v>43788</v>
      </c>
      <c r="W47" s="37">
        <f ca="1">IF(DAY(НоеНед1)=1,IF(AND(YEAR(НоеНед1+17)=CalendarYear,MONTH(НоеНед1+17)=11),НоеНед1+17,""),IF(AND(YEAR(НоеНед1+24)=CalendarYear,MONTH(НоеНед1+24)=11),НоеНед1+24,""))</f>
        <v>43789</v>
      </c>
      <c r="X47" s="37">
        <f ca="1">IF(DAY(НоеНед1)=1,IF(AND(YEAR(НоеНед1+18)=CalendarYear,MONTH(НоеНед1+18)=11),НоеНед1+18,""),IF(AND(YEAR(НоеНед1+25)=CalendarYear,MONTH(НоеНед1+25)=11),НоеНед1+25,""))</f>
        <v>43790</v>
      </c>
      <c r="Y47" s="37">
        <f ca="1">IF(DAY(НоеНед1)=1,IF(AND(YEAR(НоеНед1+19)=CalendarYear,MONTH(НоеНед1+19)=11),НоеНед1+19,""),IF(AND(YEAR(НоеНед1+26)=CalendarYear,MONTH(НоеНед1+26)=11),НоеНед1+26,""))</f>
        <v>43791</v>
      </c>
      <c r="Z47" s="37">
        <f ca="1">IF(DAY(НоеНед1)=1,IF(AND(YEAR(НоеНед1+20)=CalendarYear,MONTH(НоеНед1+20)=11),НоеНед1+20,""),IF(AND(YEAR(НоеНед1+27)=CalendarYear,MONTH(НоеНед1+27)=11),НоеНед1+27,""))</f>
        <v>43792</v>
      </c>
      <c r="AA47" s="37">
        <f ca="1">IF(DAY(НоеНед1)=1,IF(AND(YEAR(НоеНед1+21)=CalendarYear,MONTH(НоеНед1+21)=11),НоеНед1+21,""),IF(AND(YEAR(НоеНед1+28)=CalendarYear,MONTH(НоеНед1+28)=11),НоеНед1+28,""))</f>
        <v>43793</v>
      </c>
      <c r="AB47" s="24"/>
      <c r="AC47" s="27"/>
      <c r="AD47" s="37">
        <f ca="1">IF(DAY(ДекНед1)=1,IF(AND(YEAR(ДекНед1+15)=CalendarYear,MONTH(ДекНед1+15)=12),ДекНед1+15,""),IF(AND(YEAR(ДекНед1+22)=CalendarYear,MONTH(ДекНед1+22)=12),ДекНед1+22,""))</f>
        <v>43815</v>
      </c>
      <c r="AE47" s="37">
        <f ca="1">IF(DAY(ДекНед1)=1,IF(AND(YEAR(ДекНед1+16)=CalendarYear,MONTH(ДекНед1+16)=12),ДекНед1+16,""),IF(AND(YEAR(ДекНед1+23)=CalendarYear,MONTH(ДекНед1+23)=12),ДекНед1+23,""))</f>
        <v>43816</v>
      </c>
      <c r="AF47" s="37">
        <f ca="1">IF(DAY(ДекНед1)=1,IF(AND(YEAR(ДекНед1+17)=CalendarYear,MONTH(ДекНед1+17)=12),ДекНед1+17,""),IF(AND(YEAR(ДекНед1+24)=CalendarYear,MONTH(ДекНед1+24)=12),ДекНед1+24,""))</f>
        <v>43817</v>
      </c>
      <c r="AG47" s="37">
        <f ca="1">IF(DAY(ДекНед1)=1,IF(AND(YEAR(ДекНед1+18)=CalendarYear,MONTH(ДекНед1+18)=12),ДекНед1+18,""),IF(AND(YEAR(ДекНед1+25)=CalendarYear,MONTH(ДекНед1+25)=12),ДекНед1+25,""))</f>
        <v>43818</v>
      </c>
      <c r="AH47" s="37">
        <f ca="1">IF(DAY(ДекНед1)=1,IF(AND(YEAR(ДекНед1+19)=CalendarYear,MONTH(ДекНед1+19)=12),ДекНед1+19,""),IF(AND(YEAR(ДекНед1+26)=CalendarYear,MONTH(ДекНед1+26)=12),ДекНед1+26,""))</f>
        <v>43819</v>
      </c>
      <c r="AI47" s="37">
        <f ca="1">IF(DAY(ДекНед1)=1,IF(AND(YEAR(ДекНед1+20)=CalendarYear,MONTH(ДекНед1+20)=12),ДекНед1+20,""),IF(AND(YEAR(ДекНед1+27)=CalendarYear,MONTH(ДекНед1+27)=12),ДекНед1+27,""))</f>
        <v>43820</v>
      </c>
      <c r="AJ47" s="37">
        <f ca="1">IF(DAY(ДекНед1)=1,IF(AND(YEAR(ДекНед1+21)=CalendarYear,MONTH(ДекНед1+21)=12),ДекНед1+21,""),IF(AND(YEAR(ДекНед1+28)=CalendarYear,MONTH(ДекНед1+28)=12),ДекНед1+28,""))</f>
        <v>43821</v>
      </c>
    </row>
    <row r="48" spans="3:36" x14ac:dyDescent="0.2">
      <c r="C48" s="37">
        <f ca="1">IF(DAY(СепНед1)=1,IF(AND(YEAR(СепНед1+22)=CalendarYear,MONTH(СепНед1+22)=9),СепНед1+22,""),IF(AND(YEAR(СепНед1+29)=CalendarYear,MONTH(СепНед1+29)=9),СепНед1+29,""))</f>
        <v>43731</v>
      </c>
      <c r="D48" s="37">
        <f ca="1">IF(DAY(СепНед1)=1,IF(AND(YEAR(СепНед1+23)=CalendarYear,MONTH(СепНед1+23)=9),СепНед1+23,""),IF(AND(YEAR(СепНед1+30)=CalendarYear,MONTH(СепНед1+30)=9),СепНед1+30,""))</f>
        <v>43732</v>
      </c>
      <c r="E48" s="37">
        <f ca="1">IF(DAY(СепНед1)=1,IF(AND(YEAR(СепНед1+24)=CalendarYear,MONTH(СепНед1+24)=9),СепНед1+24,""),IF(AND(YEAR(СепНед1+31)=CalendarYear,MONTH(СепНед1+31)=9),СепНед1+31,""))</f>
        <v>43733</v>
      </c>
      <c r="F48" s="37">
        <f ca="1">IF(DAY(СепНед1)=1,IF(AND(YEAR(СепНед1+25)=CalendarYear,MONTH(СепНед1+25)=9),СепНед1+25,""),IF(AND(YEAR(СепНед1+32)=CalendarYear,MONTH(СепНед1+32)=9),СепНед1+32,""))</f>
        <v>43734</v>
      </c>
      <c r="G48" s="37">
        <f ca="1">IF(DAY(СепНед1)=1,IF(AND(YEAR(СепНед1+26)=CalendarYear,MONTH(СепНед1+26)=9),СепНед1+26,""),IF(AND(YEAR(СепНед1+33)=CalendarYear,MONTH(СепНед1+33)=9),СепНед1+33,""))</f>
        <v>43735</v>
      </c>
      <c r="H48" s="37">
        <f ca="1">IF(DAY(СепНед1)=1,IF(AND(YEAR(СепНед1+27)=CalendarYear,MONTH(СепНед1+27)=9),СепНед1+27,""),IF(AND(YEAR(СепНед1+34)=CalendarYear,MONTH(СепНед1+34)=9),СепНед1+34,""))</f>
        <v>43736</v>
      </c>
      <c r="I48" s="37">
        <f ca="1">IF(DAY(СепНед1)=1,IF(AND(YEAR(СепНед1+28)=CalendarYear,MONTH(СепНед1+28)=9),СепНед1+28,""),IF(AND(YEAR(СепНед1+35)=CalendarYear,MONTH(СепНед1+35)=9),СепНед1+35,""))</f>
        <v>43737</v>
      </c>
      <c r="J48" s="24"/>
      <c r="K48" s="27"/>
      <c r="L48" s="37">
        <f ca="1">IF(DAY(ОктНед1)=1,IF(AND(YEAR(ОктНед1+22)=CalendarYear,MONTH(ОктНед1+22)=10),ОктНед1+22,""),IF(AND(YEAR(ОктНед1+29)=CalendarYear,MONTH(ОктНед1+29)=10),ОктНед1+29,""))</f>
        <v>43766</v>
      </c>
      <c r="M48" s="37">
        <f ca="1">IF(DAY(ОктНед1)=1,IF(AND(YEAR(ОктНед1+23)=CalendarYear,MONTH(ОктНед1+23)=10),ОктНед1+23,""),IF(AND(YEAR(ОктНед1+30)=CalendarYear,MONTH(ОктНед1+30)=10),ОктНед1+30,""))</f>
        <v>43767</v>
      </c>
      <c r="N48" s="37">
        <f ca="1">IF(DAY(ОктНед1)=1,IF(AND(YEAR(ОктНед1+24)=CalendarYear,MONTH(ОктНед1+24)=10),ОктНед1+24,""),IF(AND(YEAR(ОктНед1+31)=CalendarYear,MONTH(ОктНед1+31)=10),ОктНед1+31,""))</f>
        <v>43768</v>
      </c>
      <c r="O48" s="37">
        <f ca="1">IF(DAY(ОктНед1)=1,IF(AND(YEAR(ОктНед1+25)=CalendarYear,MONTH(ОктНед1+25)=10),ОктНед1+25,""),IF(AND(YEAR(ОктНед1+32)=CalendarYear,MONTH(ОктНед1+32)=10),ОктНед1+32,""))</f>
        <v>43769</v>
      </c>
      <c r="P48" s="37" t="str">
        <f ca="1">IF(DAY(ОктНед1)=1,IF(AND(YEAR(ОктНед1+26)=CalendarYear,MONTH(ОктНед1+26)=10),ОктНед1+26,""),IF(AND(YEAR(ОктНед1+33)=CalendarYear,MONTH(ОктНед1+33)=10),ОктНед1+33,""))</f>
        <v/>
      </c>
      <c r="Q48" s="37" t="str">
        <f ca="1">IF(DAY(ОктНед1)=1,IF(AND(YEAR(ОктНед1+27)=CalendarYear,MONTH(ОктНед1+27)=10),ОктНед1+27,""),IF(AND(YEAR(ОктНед1+34)=CalendarYear,MONTH(ОктНед1+34)=10),ОктНед1+34,""))</f>
        <v/>
      </c>
      <c r="R48" s="37" t="str">
        <f ca="1">IF(DAY(ОктНед1)=1,IF(AND(YEAR(ОктНед1+28)=CalendarYear,MONTH(ОктНед1+28)=10),ОктНед1+28,""),IF(AND(YEAR(ОктНед1+35)=CalendarYear,MONTH(ОктНед1+35)=10),ОктНед1+35,""))</f>
        <v/>
      </c>
      <c r="S48" s="24"/>
      <c r="T48" s="28"/>
      <c r="U48" s="37">
        <f ca="1">IF(DAY(НоеНед1)=1,IF(AND(YEAR(НоеНед1+22)=CalendarYear,MONTH(НоеНед1+22)=11),НоеНед1+22,""),IF(AND(YEAR(НоеНед1+29)=CalendarYear,MONTH(НоеНед1+29)=11),НоеНед1+29,""))</f>
        <v>43794</v>
      </c>
      <c r="V48" s="37">
        <f ca="1">IF(DAY(НоеНед1)=1,IF(AND(YEAR(НоеНед1+23)=CalendarYear,MONTH(НоеНед1+23)=11),НоеНед1+23,""),IF(AND(YEAR(НоеНед1+30)=CalendarYear,MONTH(НоеНед1+30)=11),НоеНед1+30,""))</f>
        <v>43795</v>
      </c>
      <c r="W48" s="37">
        <f ca="1">IF(DAY(НоеНед1)=1,IF(AND(YEAR(НоеНед1+24)=CalendarYear,MONTH(НоеНед1+24)=11),НоеНед1+24,""),IF(AND(YEAR(НоеНед1+31)=CalendarYear,MONTH(НоеНед1+31)=11),НоеНед1+31,""))</f>
        <v>43796</v>
      </c>
      <c r="X48" s="37">
        <f ca="1">IF(DAY(НоеНед1)=1,IF(AND(YEAR(НоеНед1+25)=CalendarYear,MONTH(НоеНед1+25)=11),НоеНед1+25,""),IF(AND(YEAR(НоеНед1+32)=CalendarYear,MONTH(НоеНед1+32)=11),НоеНед1+32,""))</f>
        <v>43797</v>
      </c>
      <c r="Y48" s="37">
        <f ca="1">IF(DAY(НоеНед1)=1,IF(AND(YEAR(НоеНед1+26)=CalendarYear,MONTH(НоеНед1+26)=11),НоеНед1+26,""),IF(AND(YEAR(НоеНед1+33)=CalendarYear,MONTH(НоеНед1+33)=11),НоеНед1+33,""))</f>
        <v>43798</v>
      </c>
      <c r="Z48" s="37">
        <f ca="1">IF(DAY(НоеНед1)=1,IF(AND(YEAR(НоеНед1+27)=CalendarYear,MONTH(НоеНед1+27)=11),НоеНед1+27,""),IF(AND(YEAR(НоеНед1+34)=CalendarYear,MONTH(НоеНед1+34)=11),НоеНед1+34,""))</f>
        <v>43799</v>
      </c>
      <c r="AA48" s="37" t="str">
        <f ca="1">IF(DAY(НоеНед1)=1,IF(AND(YEAR(НоеНед1+28)=CalendarYear,MONTH(НоеНед1+28)=11),НоеНед1+28,""),IF(AND(YEAR(НоеНед1+35)=CalendarYear,MONTH(НоеНед1+35)=11),НоеНед1+35,""))</f>
        <v/>
      </c>
      <c r="AB48" s="24"/>
      <c r="AC48" s="27"/>
      <c r="AD48" s="37">
        <f ca="1">IF(DAY(ДекНед1)=1,IF(AND(YEAR(ДекНед1+22)=CalendarYear,MONTH(ДекНед1+22)=12),ДекНед1+22,""),IF(AND(YEAR(ДекНед1+29)=CalendarYear,MONTH(ДекНед1+29)=12),ДекНед1+29,""))</f>
        <v>43822</v>
      </c>
      <c r="AE48" s="37">
        <f ca="1">IF(DAY(ДекНед1)=1,IF(AND(YEAR(ДекНед1+23)=CalendarYear,MONTH(ДекНед1+23)=12),ДекНед1+23,""),IF(AND(YEAR(ДекНед1+30)=CalendarYear,MONTH(ДекНед1+30)=12),ДекНед1+30,""))</f>
        <v>43823</v>
      </c>
      <c r="AF48" s="37">
        <f ca="1">IF(DAY(ДекНед1)=1,IF(AND(YEAR(ДекНед1+24)=CalendarYear,MONTH(ДекНед1+24)=12),ДекНед1+24,""),IF(AND(YEAR(ДекНед1+31)=CalendarYear,MONTH(ДекНед1+31)=12),ДекНед1+31,""))</f>
        <v>43824</v>
      </c>
      <c r="AG48" s="37">
        <f ca="1">IF(DAY(ДекНед1)=1,IF(AND(YEAR(ДекНед1+25)=CalendarYear,MONTH(ДекНед1+25)=12),ДекНед1+25,""),IF(AND(YEAR(ДекНед1+32)=CalendarYear,MONTH(ДекНед1+32)=12),ДекНед1+32,""))</f>
        <v>43825</v>
      </c>
      <c r="AH48" s="37">
        <f ca="1">IF(DAY(ДекНед1)=1,IF(AND(YEAR(ДекНед1+26)=CalendarYear,MONTH(ДекНед1+26)=12),ДекНед1+26,""),IF(AND(YEAR(ДекНед1+33)=CalendarYear,MONTH(ДекНед1+33)=12),ДекНед1+33,""))</f>
        <v>43826</v>
      </c>
      <c r="AI48" s="37">
        <f ca="1">IF(DAY(ДекНед1)=1,IF(AND(YEAR(ДекНед1+27)=CalendarYear,MONTH(ДекНед1+27)=12),ДекНед1+27,""),IF(AND(YEAR(ДекНед1+34)=CalendarYear,MONTH(ДекНед1+34)=12),ДекНед1+34,""))</f>
        <v>43827</v>
      </c>
      <c r="AJ48" s="37">
        <f ca="1">IF(DAY(ДекНед1)=1,IF(AND(YEAR(ДекНед1+28)=CalendarYear,MONTH(ДекНед1+28)=12),ДекНед1+28,""),IF(AND(YEAR(ДекНед1+35)=CalendarYear,MONTH(ДекНед1+35)=12),ДекНед1+35,""))</f>
        <v>43828</v>
      </c>
    </row>
    <row r="49" spans="3:36" x14ac:dyDescent="0.2">
      <c r="C49" s="37">
        <f ca="1">IF(DAY(СепНед1)=1,IF(AND(YEAR(СепНед1+29)=CalendarYear,MONTH(СепНед1+29)=9),СепНед1+29,""),IF(AND(YEAR(СепНед1+36)=CalendarYear,MONTH(СепНед1+36)=9),СепНед1+36,""))</f>
        <v>43738</v>
      </c>
      <c r="D49" s="37" t="str">
        <f ca="1">IF(DAY(СепНед1)=1,IF(AND(YEAR(СепНед1+30)=CalendarYear,MONTH(СепНед1+30)=9),СепНед1+30,""),IF(AND(YEAR(СепНед1+37)=CalendarYear,MONTH(СепНед1+37)=9),СепНед1+37,""))</f>
        <v/>
      </c>
      <c r="E49" s="37" t="str">
        <f ca="1">IF(DAY(СепНед1)=1,IF(AND(YEAR(СепНед1+31)=CalendarYear,MONTH(СепНед1+31)=9),СепНед1+31,""),IF(AND(YEAR(СепНед1+38)=CalendarYear,MONTH(СепНед1+38)=9),СепНед1+38,""))</f>
        <v/>
      </c>
      <c r="F49" s="37" t="str">
        <f ca="1">IF(DAY(СепНед1)=1,IF(AND(YEAR(СепНед1+32)=CalendarYear,MONTH(СепНед1+32)=9),СепНед1+32,""),IF(AND(YEAR(СепНед1+39)=CalendarYear,MONTH(СепНед1+39)=9),СепНед1+39,""))</f>
        <v/>
      </c>
      <c r="G49" s="37" t="str">
        <f ca="1">IF(DAY(СепНед1)=1,IF(AND(YEAR(СепНед1+33)=CalendarYear,MONTH(СепНед1+33)=9),СепНед1+33,""),IF(AND(YEAR(СепНед1+40)=CalendarYear,MONTH(СепНед1+40)=9),СепНед1+40,""))</f>
        <v/>
      </c>
      <c r="H49" s="37" t="str">
        <f ca="1">IF(DAY(СепНед1)=1,IF(AND(YEAR(СепНед1+34)=CalendarYear,MONTH(СепНед1+34)=9),СепНед1+34,""),IF(AND(YEAR(СепНед1+41)=CalendarYear,MONTH(СепНед1+41)=9),СепНед1+41,""))</f>
        <v/>
      </c>
      <c r="I49" s="37" t="str">
        <f ca="1">IF(DAY(СепНед1)=1,IF(AND(YEAR(СепНед1+35)=CalendarYear,MONTH(СепНед1+35)=9),СепНед1+35,""),IF(AND(YEAR(СепНед1+42)=CalendarYear,MONTH(СепНед1+42)=9),СепНед1+42,""))</f>
        <v/>
      </c>
      <c r="J49" s="24"/>
      <c r="K49" s="27"/>
      <c r="L49" s="37" t="str">
        <f ca="1">IF(DAY(ОктНед1)=1,IF(AND(YEAR(ОктНед1+29)=CalendarYear,MONTH(ОктНед1+29)=10),ОктНед1+29,""),IF(AND(YEAR(ОктНед1+36)=CalendarYear,MONTH(ОктНед1+36)=10),ОктНед1+36,""))</f>
        <v/>
      </c>
      <c r="M49" s="37" t="str">
        <f ca="1">IF(DAY(ОктНед1)=1,IF(AND(YEAR(ОктНед1+30)=CalendarYear,MONTH(ОктНед1+30)=10),ОктНед1+30,""),IF(AND(YEAR(ОктНед1+37)=CalendarYear,MONTH(ОктНед1+37)=10),ОктНед1+37,""))</f>
        <v/>
      </c>
      <c r="N49" s="37" t="str">
        <f ca="1">IF(DAY(ОктНед1)=1,IF(AND(YEAR(ОктНед1+31)=CalendarYear,MONTH(ОктНед1+31)=10),ОктНед1+31,""),IF(AND(YEAR(ОктНед1+38)=CalendarYear,MONTH(ОктНед1+38)=10),ОктНед1+38,""))</f>
        <v/>
      </c>
      <c r="O49" s="37" t="str">
        <f ca="1">IF(DAY(ОктНед1)=1,IF(AND(YEAR(ОктНед1+32)=CalendarYear,MONTH(ОктНед1+32)=10),ОктНед1+32,""),IF(AND(YEAR(ОктНед1+39)=CalendarYear,MONTH(ОктНед1+39)=10),ОктНед1+39,""))</f>
        <v/>
      </c>
      <c r="P49" s="37" t="str">
        <f ca="1">IF(DAY(ОктНед1)=1,IF(AND(YEAR(ОктНед1+33)=CalendarYear,MONTH(ОктНед1+33)=10),ОктНед1+33,""),IF(AND(YEAR(ОктНед1+40)=CalendarYear,MONTH(ОктНед1+40)=10),ОктНед1+40,""))</f>
        <v/>
      </c>
      <c r="Q49" s="37" t="str">
        <f ca="1">IF(DAY(ОктНед1)=1,IF(AND(YEAR(ОктНед1+34)=CalendarYear,MONTH(ОктНед1+34)=10),ОктНед1+34,""),IF(AND(YEAR(ОктНед1+41)=CalendarYear,MONTH(ОктНед1+41)=10),ОктНед1+41,""))</f>
        <v/>
      </c>
      <c r="R49" s="37" t="str">
        <f ca="1">IF(DAY(ОктНед1)=1,IF(AND(YEAR(ОктНед1+35)=CalendarYear,MONTH(ОктНед1+35)=10),ОктНед1+35,""),IF(AND(YEAR(ОктНед1+42)=CalendarYear,MONTH(ОктНед1+42)=10),ОктНед1+42,""))</f>
        <v/>
      </c>
      <c r="S49" s="24"/>
      <c r="T49" s="28"/>
      <c r="U49" s="37" t="str">
        <f ca="1">IF(DAY(НоеНед1)=1,IF(AND(YEAR(НоеНед1+29)=CalendarYear,MONTH(НоеНед1+29)=11),НоеНед1+29,""),IF(AND(YEAR(НоеНед1+36)=CalendarYear,MONTH(НоеНед1+36)=11),НоеНед1+36,""))</f>
        <v/>
      </c>
      <c r="V49" s="37" t="str">
        <f ca="1">IF(DAY(НоеНед1)=1,IF(AND(YEAR(НоеНед1+30)=CalendarYear,MONTH(НоеНед1+30)=11),НоеНед1+30,""),IF(AND(YEAR(НоеНед1+37)=CalendarYear,MONTH(НоеНед1+37)=11),НоеНед1+37,""))</f>
        <v/>
      </c>
      <c r="W49" s="37" t="str">
        <f ca="1">IF(DAY(НоеНед1)=1,IF(AND(YEAR(НоеНед1+31)=CalendarYear,MONTH(НоеНед1+31)=11),НоеНед1+31,""),IF(AND(YEAR(НоеНед1+38)=CalendarYear,MONTH(НоеНед1+38)=11),НоеНед1+38,""))</f>
        <v/>
      </c>
      <c r="X49" s="37" t="str">
        <f ca="1">IF(DAY(НоеНед1)=1,IF(AND(YEAR(НоеНед1+32)=CalendarYear,MONTH(НоеНед1+32)=11),НоеНед1+32,""),IF(AND(YEAR(НоеНед1+39)=CalendarYear,MONTH(НоеНед1+39)=11),НоеНед1+39,""))</f>
        <v/>
      </c>
      <c r="Y49" s="37" t="str">
        <f ca="1">IF(DAY(НоеНед1)=1,IF(AND(YEAR(НоеНед1+33)=CalendarYear,MONTH(НоеНед1+33)=11),НоеНед1+33,""),IF(AND(YEAR(НоеНед1+40)=CalendarYear,MONTH(НоеНед1+40)=11),НоеНед1+40,""))</f>
        <v/>
      </c>
      <c r="Z49" s="37" t="str">
        <f ca="1">IF(DAY(НоеНед1)=1,IF(AND(YEAR(НоеНед1+34)=CalendarYear,MONTH(НоеНед1+34)=11),НоеНед1+34,""),IF(AND(YEAR(НоеНед1+41)=CalendarYear,MONTH(НоеНед1+41)=11),НоеНед1+41,""))</f>
        <v/>
      </c>
      <c r="AA49" s="37" t="str">
        <f ca="1">IF(DAY(НоеНед1)=1,IF(AND(YEAR(НоеНед1+35)=CalendarYear,MONTH(НоеНед1+35)=11),НоеНед1+35,""),IF(AND(YEAR(НоеНед1+42)=CalendarYear,MONTH(НоеНед1+42)=11),НоеНед1+42,""))</f>
        <v/>
      </c>
      <c r="AB49" s="24"/>
      <c r="AC49" s="27"/>
      <c r="AD49" s="37">
        <f ca="1">IF(DAY(ДекНед1)=1,IF(AND(YEAR(ДекНед1+29)=CalendarYear,MONTH(ДекНед1+29)=12),ДекНед1+29,""),IF(AND(YEAR(ДекНед1+36)=CalendarYear,MONTH(ДекНед1+36)=12),ДекНед1+36,""))</f>
        <v>43829</v>
      </c>
      <c r="AE49" s="37">
        <f ca="1">IF(DAY(ДекНед1)=1,IF(AND(YEAR(ДекНед1+30)=CalendarYear,MONTH(ДекНед1+30)=12),ДекНед1+30,""),IF(AND(YEAR(ДекНед1+37)=CalendarYear,MONTH(ДекНед1+37)=12),ДекНед1+37,""))</f>
        <v>43830</v>
      </c>
      <c r="AF49" s="37" t="str">
        <f ca="1">IF(DAY(ДекНед1)=1,IF(AND(YEAR(ДекНед1+31)=CalendarYear,MONTH(ДекНед1+31)=12),ДекНед1+31,""),IF(AND(YEAR(ДекНед1+38)=CalendarYear,MONTH(ДекНед1+38)=12),ДекНед1+38,""))</f>
        <v/>
      </c>
      <c r="AG49" s="37" t="str">
        <f ca="1">IF(DAY(ДекНед1)=1,IF(AND(YEAR(ДекНед1+32)=CalendarYear,MONTH(ДекНед1+32)=12),ДекНед1+32,""),IF(AND(YEAR(ДекНед1+39)=CalendarYear,MONTH(ДекНед1+39)=12),ДекНед1+39,""))</f>
        <v/>
      </c>
      <c r="AH49" s="37" t="str">
        <f ca="1">IF(DAY(ДекНед1)=1,IF(AND(YEAR(ДекНед1+33)=CalendarYear,MONTH(ДекНед1+33)=12),ДекНед1+33,""),IF(AND(YEAR(ДекНед1+40)=CalendarYear,MONTH(ДекНед1+40)=12),ДекНед1+40,""))</f>
        <v/>
      </c>
      <c r="AI49" s="37" t="str">
        <f ca="1">IF(DAY(ДекНед1)=1,IF(AND(YEAR(ДекНед1+34)=CalendarYear,MONTH(ДекНед1+34)=12),ДекНед1+34,""),IF(AND(YEAR(ДекНед1+41)=CalendarYear,MONTH(ДекНед1+41)=12),ДекНед1+41,""))</f>
        <v/>
      </c>
      <c r="AJ49" s="37" t="str">
        <f ca="1">IF(DAY(ДекНед1)=1,IF(AND(YEAR(ДекНед1+35)=CalendarYear,MONTH(ДекНед1+35)=12),ДекНед1+35,""),IF(AND(YEAR(ДекНед1+42)=CalendarYear,MONTH(ДекНед1+42)=12),ДекНед1+42,""))</f>
        <v/>
      </c>
    </row>
    <row r="50" spans="3:36" x14ac:dyDescent="0.2">
      <c r="C50" s="2"/>
      <c r="D50" s="2"/>
      <c r="E50" s="2"/>
      <c r="F50" s="2"/>
      <c r="G50" s="2"/>
      <c r="H50" s="2"/>
      <c r="I50" s="2"/>
      <c r="J50" s="2"/>
      <c r="K50" s="1"/>
      <c r="L50" s="1"/>
      <c r="M50" s="1"/>
      <c r="N50" s="1"/>
      <c r="O50" s="1"/>
      <c r="P50" s="1"/>
      <c r="Q50" s="1"/>
      <c r="R50" s="1"/>
      <c r="S50" s="1"/>
    </row>
  </sheetData>
  <mergeCells count="61">
    <mergeCell ref="C42:I42"/>
    <mergeCell ref="L42:R42"/>
    <mergeCell ref="U42:AA42"/>
    <mergeCell ref="AD42:AJ42"/>
    <mergeCell ref="C24:I24"/>
    <mergeCell ref="L24:R24"/>
    <mergeCell ref="U24:AA24"/>
    <mergeCell ref="AD24:AJ24"/>
    <mergeCell ref="C33:I33"/>
    <mergeCell ref="L33:R33"/>
    <mergeCell ref="U33:AA33"/>
    <mergeCell ref="AD33:AJ33"/>
    <mergeCell ref="H6:Q6"/>
    <mergeCell ref="H7:Q7"/>
    <mergeCell ref="H8:Q8"/>
    <mergeCell ref="H9:Q9"/>
    <mergeCell ref="D22:E22"/>
    <mergeCell ref="D21:E21"/>
    <mergeCell ref="H10:Q10"/>
    <mergeCell ref="H11:Q11"/>
    <mergeCell ref="H12:Q12"/>
    <mergeCell ref="H13:Q13"/>
    <mergeCell ref="H14:Q14"/>
    <mergeCell ref="D11:G11"/>
    <mergeCell ref="D12:G12"/>
    <mergeCell ref="D13:G13"/>
    <mergeCell ref="D14:G14"/>
    <mergeCell ref="D15:G15"/>
    <mergeCell ref="D6:G6"/>
    <mergeCell ref="D7:G7"/>
    <mergeCell ref="D8:G8"/>
    <mergeCell ref="D9:G9"/>
    <mergeCell ref="D10:G10"/>
    <mergeCell ref="D17:G17"/>
    <mergeCell ref="D18:G18"/>
    <mergeCell ref="D19:G19"/>
    <mergeCell ref="D20:G20"/>
    <mergeCell ref="H15:Q15"/>
    <mergeCell ref="H16:Q16"/>
    <mergeCell ref="D16:G16"/>
    <mergeCell ref="U14:AI14"/>
    <mergeCell ref="U15:AI15"/>
    <mergeCell ref="U16:AI16"/>
    <mergeCell ref="U17:AI17"/>
    <mergeCell ref="U18:AI18"/>
    <mergeCell ref="D3:AD3"/>
    <mergeCell ref="AE3:AI3"/>
    <mergeCell ref="U19:AI19"/>
    <mergeCell ref="U20:AI20"/>
    <mergeCell ref="H17:Q17"/>
    <mergeCell ref="H18:Q18"/>
    <mergeCell ref="H19:Q19"/>
    <mergeCell ref="H20:Q20"/>
    <mergeCell ref="U6:AI6"/>
    <mergeCell ref="U7:AI7"/>
    <mergeCell ref="U8:AI8"/>
    <mergeCell ref="U9:AI9"/>
    <mergeCell ref="U10:AI10"/>
    <mergeCell ref="U11:AI11"/>
    <mergeCell ref="U12:AI12"/>
    <mergeCell ref="U13:AI13"/>
  </mergeCells>
  <conditionalFormatting sqref="C26:I31 L26:R31 U26:AA31 AD26:AJ31 C35:I40 L35:R40 U35:AA40 AD35:AJ40 C44:I49 L44:R49 U44:AA49 AD44:AJ49">
    <cfRule type="expression" dxfId="0" priority="1">
      <formula>VLOOKUP(C26,ImportantDates,1,FALSE)=C26</formula>
    </cfRule>
  </conditionalFormatting>
  <printOptions horizontalCentered="1"/>
  <pageMargins left="0.5" right="0.5" top="0.75" bottom="0.75" header="0.3" footer="0.3"/>
  <pageSetup paperSize="9" orientation="portrait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Брояч">
              <controlPr defaultSize="0" print="0" autoPict="0" altText="Използвайте бутона на брояча, за да промените календарната година, или променете годината в клетка AF3.">
                <anchor moveWithCells="1">
                  <from>
                    <xdr:col>34</xdr:col>
                    <xdr:colOff>200025</xdr:colOff>
                    <xdr:row>2</xdr:row>
                    <xdr:rowOff>85725</xdr:rowOff>
                  </from>
                  <to>
                    <xdr:col>35</xdr:col>
                    <xdr:colOff>133350</xdr:colOff>
                    <xdr:row>2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3</vt:i4>
      </vt:variant>
    </vt:vector>
  </HeadingPairs>
  <TitlesOfParts>
    <vt:vector size="4" baseType="lpstr">
      <vt:lpstr>Семеен календар</vt:lpstr>
      <vt:lpstr>CalendarYear</vt:lpstr>
      <vt:lpstr>ImportantDates</vt:lpstr>
      <vt:lpstr>'Семеен календар'!Област_печат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2017-12-11T08:46:48Z</dcterms:created>
  <dcterms:modified xsi:type="dcterms:W3CDTF">2019-06-13T12:33:32Z</dcterms:modified>
</cp:coreProperties>
</file>