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9"/>
  <workbookPr/>
  <mc:AlternateContent xmlns:mc="http://schemas.openxmlformats.org/markup-compatibility/2006">
    <mc:Choice Requires="x15">
      <x15ac:absPath xmlns:x15ac="http://schemas.microsoft.com/office/spreadsheetml/2010/11/ac" url="C:\Users\admin\OneDrive - BCS Loc Test 5\WordTech_20190719_Excel_Word_Win32_Q1_P2\04_PreDTP_Done\ar-SA\"/>
    </mc:Choice>
  </mc:AlternateContent>
  <xr:revisionPtr revIDLastSave="0" documentId="13_ncr:3_{AF7E6B4C-762B-4E6D-A753-4B923A5D6E0F}" xr6:coauthVersionLast="44" xr6:coauthVersionMax="44" xr10:uidLastSave="{00000000-0000-0000-0000-000000000000}"/>
  <bookViews>
    <workbookView xWindow="-120" yWindow="-120" windowWidth="28650" windowHeight="14415" tabRatio="686" xr2:uid="{00000000-000D-0000-FFFF-FFFF00000000}"/>
  </bookViews>
  <sheets>
    <sheet name="يناير" sheetId="4" r:id="rId1"/>
    <sheet name="فبراير" sheetId="5" r:id="rId2"/>
    <sheet name="مارس" sheetId="17" r:id="rId3"/>
    <sheet name="أبريل" sheetId="18" r:id="rId4"/>
    <sheet name="مايو" sheetId="19" r:id="rId5"/>
    <sheet name="يونيو" sheetId="20" r:id="rId6"/>
    <sheet name="يوليو" sheetId="21" r:id="rId7"/>
    <sheet name="أغسطس" sheetId="22" r:id="rId8"/>
    <sheet name="سبتمبر" sheetId="23" r:id="rId9"/>
    <sheet name="أكتوبر" sheetId="24" r:id="rId10"/>
    <sheet name="نوفمبر" sheetId="25" r:id="rId11"/>
    <sheet name="ديسمبر" sheetId="15" r:id="rId12"/>
    <sheet name="أسماء الموظفين" sheetId="16" r:id="rId13"/>
  </sheets>
  <definedNames>
    <definedName name="CalendarYear">يناير!$AH$4</definedName>
    <definedName name="ColumnTitle13">اسم_الموظف[[#Headers],[أسماء الموظفين]]</definedName>
    <definedName name="Employee_Absence_Title">يناير!$B$1</definedName>
    <definedName name="Key_name">يناير!$B$2</definedName>
    <definedName name="KeyCustom1">يناير!$N$2</definedName>
    <definedName name="KeyCustom1Label">يناير!$O$2</definedName>
    <definedName name="KeyCustom2">يناير!$R$2</definedName>
    <definedName name="KeyCustom2Label">يناير!$S$2</definedName>
    <definedName name="KeyPersonal">يناير!$G$2</definedName>
    <definedName name="KeyPersonalLabel">يناير!$H$2</definedName>
    <definedName name="KeySick">يناير!$K$2</definedName>
    <definedName name="KeySickLabel">يناير!$L$2</definedName>
    <definedName name="KeyVacation">يناير!$C$2</definedName>
    <definedName name="KeyVacationLabel">يناير!$D$2</definedName>
    <definedName name="MonthName" localSheetId="3">أبريل!$B$4</definedName>
    <definedName name="MonthName" localSheetId="7">أغسطس!$B$4</definedName>
    <definedName name="MonthName" localSheetId="9">أكتوبر!$B$4</definedName>
    <definedName name="MonthName" localSheetId="11">ديسمبر!$B$4</definedName>
    <definedName name="MonthName" localSheetId="8">سبتمبر!$B$4</definedName>
    <definedName name="MonthName" localSheetId="1">فبراير!$B$4</definedName>
    <definedName name="MonthName" localSheetId="2">مارس!$B$4</definedName>
    <definedName name="MonthName" localSheetId="4">مايو!$B$4</definedName>
    <definedName name="MonthName" localSheetId="10">نوفمبر!$B$4</definedName>
    <definedName name="MonthName" localSheetId="0">يناير!$B$4</definedName>
    <definedName name="MonthName" localSheetId="6">يوليو!$B$4</definedName>
    <definedName name="MonthName" localSheetId="5">يونيو!$B$4</definedName>
    <definedName name="_xlnm.Print_Titles" localSheetId="3">أبريل!$4:$6</definedName>
    <definedName name="_xlnm.Print_Titles" localSheetId="7">أغسطس!$4:$6</definedName>
    <definedName name="_xlnm.Print_Titles" localSheetId="9">أكتوبر!$4:$6</definedName>
    <definedName name="_xlnm.Print_Titles" localSheetId="11">ديسمبر!$4:$6</definedName>
    <definedName name="_xlnm.Print_Titles" localSheetId="8">سبتمبر!$4:$6</definedName>
    <definedName name="_xlnm.Print_Titles" localSheetId="1">فبراير!$4:$6</definedName>
    <definedName name="_xlnm.Print_Titles" localSheetId="2">مارس!$4:$6</definedName>
    <definedName name="_xlnm.Print_Titles" localSheetId="4">مايو!$4:$6</definedName>
    <definedName name="_xlnm.Print_Titles" localSheetId="10">نوفمبر!$4:$6</definedName>
    <definedName name="_xlnm.Print_Titles" localSheetId="0">يناير!$4:$6</definedName>
    <definedName name="_xlnm.Print_Titles" localSheetId="6">يوليو!$4:$6</definedName>
    <definedName name="_xlnm.Print_Titles" localSheetId="5">يونيو!$4:$6</definedName>
    <definedName name="العنوان_1">يناير[[#Headers],[اسم الموظف]]</definedName>
    <definedName name="العنوان_10">أكتوبر[[#Headers],[اسم الموظف]]</definedName>
    <definedName name="العنوان_11">نوفمبر[[#Headers],[اسم الموظف]]</definedName>
    <definedName name="العنوان_12">ديسمبر[[#Headers],[اسم الموظف]]</definedName>
    <definedName name="العنوان_2">فبراير[[#Headers],[اسم الموظف]]</definedName>
    <definedName name="العنوان_3">مارس[[#Headers],[اسم الموظف]]</definedName>
    <definedName name="العنوان_4">أبريل[[#Headers],[اسم الموظف]]</definedName>
    <definedName name="العنوان_5">مايو[[#Headers],[اسم الموظف]]</definedName>
    <definedName name="العنوان_6">يونيو[[#Headers],[اسم الموظف]]</definedName>
    <definedName name="العنوان_7">يوليو[[#Headers],[اسم الموظف]]</definedName>
    <definedName name="العنوان_8">أغسطس[[#Headers],[اسم الموظف]]</definedName>
    <definedName name="العنوان_9">سبتمبر[[#Headers],[اسم الموظف]]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B12" i="5"/>
  <c r="B12" i="17"/>
  <c r="B12" i="18"/>
  <c r="B12" i="19"/>
  <c r="B12" i="20"/>
  <c r="B12" i="21"/>
  <c r="B12" i="22"/>
  <c r="B12" i="23"/>
  <c r="B12" i="24"/>
  <c r="B12" i="15"/>
  <c r="B12" i="25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21" l="1"/>
  <c r="AH12" i="17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<sst xmlns="http://schemas.openxmlformats.org/spreadsheetml/2006/main" count="643" uniqueCount="65">
  <si>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جدول غياب الموظفين</t>
  </si>
  <si>
    <t>مفتاح نوع الغياب</t>
  </si>
  <si>
    <t>يناير</t>
  </si>
  <si>
    <t>اسم الموظف</t>
  </si>
  <si>
    <t>الموظف 1</t>
  </si>
  <si>
    <t>الموظف 2</t>
  </si>
  <si>
    <t>الموظف 3</t>
  </si>
  <si>
    <t>الموظف 4</t>
  </si>
  <si>
    <t>الموظف 5</t>
  </si>
  <si>
    <t>ع</t>
  </si>
  <si>
    <t>تواريخ الغياب</t>
  </si>
  <si>
    <t>1</t>
  </si>
  <si>
    <t>العطلة</t>
  </si>
  <si>
    <t>2</t>
  </si>
  <si>
    <t>3</t>
  </si>
  <si>
    <t>ش</t>
  </si>
  <si>
    <t>4</t>
  </si>
  <si>
    <t>م</t>
  </si>
  <si>
    <t>5</t>
  </si>
  <si>
    <t>أسباب شخصية</t>
  </si>
  <si>
    <t>6</t>
  </si>
  <si>
    <t>7</t>
  </si>
  <si>
    <t>8</t>
  </si>
  <si>
    <t>9</t>
  </si>
  <si>
    <t>مرضي</t>
  </si>
  <si>
    <t>10</t>
  </si>
  <si>
    <t>11</t>
  </si>
  <si>
    <t>12</t>
  </si>
  <si>
    <t>مخصص 1</t>
  </si>
  <si>
    <t>13</t>
  </si>
  <si>
    <t>14</t>
  </si>
  <si>
    <t>15</t>
  </si>
  <si>
    <t>16</t>
  </si>
  <si>
    <t>مخصص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</si>
  <si>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</si>
  <si>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</si>
  <si>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</si>
  <si>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</si>
  <si>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</si>
  <si>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</si>
  <si>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</si>
  <si>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</si>
  <si>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</si>
  <si>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</si>
  <si>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</si>
  <si>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</si>
  <si>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</si>
  <si>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</si>
  <si>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</si>
  <si>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أدخل السنة:</t>
  </si>
  <si>
    <t>إجمالي الأيام</t>
  </si>
  <si>
    <t>فبراير</t>
  </si>
  <si>
    <t xml:space="preserve"> </t>
  </si>
  <si>
    <t xml:space="preserve">  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</si>
  <si>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</si>
  <si>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</si>
  <si>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</si>
  <si>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</si>
  <si>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</si>
  <si>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</si>
  <si>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</si>
  <si>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</si>
  <si>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</si>
  <si>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</si>
  <si>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أسماء الموظفين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</si>
</sst>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0;0;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theme="4" tint="-0.49998474074526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6"/>
      <color theme="3"/>
      <name val="Tahoma"/>
      <family val="2"/>
    </font>
    <font>
      <b/>
      <sz val="26"/>
      <color theme="3" tint="-0.24994659260841701"/>
      <name val="Tahoma"/>
      <family val="2"/>
    </font>
    <font>
      <b/>
      <sz val="18"/>
      <color theme="4" tint="-0.24994659260841701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1"/>
      <color theme="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2" borderId="0" applyNumberFormat="0" applyBorder="0" applyProtection="0">
      <alignment horizontal="center" vertical="center" readingOrder="2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>
      <alignment readingOrder="2"/>
    </xf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4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1" applyNumberFormat="0" applyAlignment="0" applyProtection="0"/>
    <xf numFmtId="0" fontId="15" fillId="25" borderId="2" applyNumberFormat="0" applyAlignment="0" applyProtection="0"/>
    <xf numFmtId="0" fontId="13" fillId="25" borderId="1" applyNumberFormat="0" applyAlignment="0" applyProtection="0"/>
    <xf numFmtId="0" fontId="17" fillId="0" borderId="3" applyNumberFormat="0" applyFill="0" applyAlignment="0" applyProtection="0"/>
    <xf numFmtId="0" fontId="10" fillId="26" borderId="4" applyNumberFormat="0" applyAlignment="0" applyProtection="0"/>
    <xf numFmtId="0" fontId="12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>
      <alignment horizontal="left" vertical="center"/>
    </xf>
    <xf numFmtId="0" fontId="0" fillId="0" borderId="0" xfId="0" applyAlignment="1" applyProtection="1">
      <alignment horizontal="right" vertical="center" wrapText="1" readingOrder="2"/>
    </xf>
    <xf numFmtId="0" fontId="7" fillId="0" borderId="0" xfId="1" applyAlignment="1" applyProtection="1">
      <alignment horizontal="right" vertical="top" readingOrder="2"/>
    </xf>
    <xf numFmtId="0" fontId="0" fillId="0" borderId="0" xfId="0" applyAlignment="1" applyProtection="1">
      <alignment horizontal="right" vertical="center" readingOrder="2"/>
    </xf>
    <xf numFmtId="0" fontId="2" fillId="20" borderId="0" xfId="4" applyAlignment="1" applyProtection="1">
      <alignment horizontal="left" vertical="center" indent="1" readingOrder="2"/>
    </xf>
    <xf numFmtId="0" fontId="2" fillId="15" borderId="0" xfId="12" applyAlignment="1" applyProtection="1">
      <alignment horizontal="center" vertical="center" readingOrder="2"/>
    </xf>
    <xf numFmtId="0" fontId="2" fillId="10" borderId="0" xfId="19" applyAlignment="1" applyProtection="1">
      <alignment horizontal="center" vertical="center" readingOrder="2"/>
    </xf>
    <xf numFmtId="0" fontId="4" fillId="0" borderId="0" xfId="27" applyAlignment="1" applyProtection="1">
      <alignment horizontal="center" readingOrder="2"/>
    </xf>
    <xf numFmtId="0" fontId="0" fillId="0" borderId="0" xfId="0" applyAlignment="1" applyProtection="1">
      <alignment horizontal="center" vertical="center" readingOrder="2"/>
    </xf>
    <xf numFmtId="0" fontId="1" fillId="2" borderId="0" xfId="21" applyBorder="1" applyAlignment="1" applyProtection="1">
      <alignment horizontal="right" vertical="center" indent="1" readingOrder="2"/>
    </xf>
    <xf numFmtId="0" fontId="0" fillId="0" borderId="0" xfId="0" applyFont="1" applyFill="1" applyBorder="1" applyAlignment="1" applyProtection="1">
      <alignment horizontal="center" vertical="center" readingOrder="2"/>
    </xf>
    <xf numFmtId="0" fontId="0" fillId="0" borderId="0" xfId="21" applyFont="1" applyFill="1" applyBorder="1" applyAlignment="1" applyProtection="1">
      <alignment horizontal="center" vertical="center" readingOrder="2"/>
    </xf>
    <xf numFmtId="0" fontId="1" fillId="0" borderId="0" xfId="26" applyFill="1" applyBorder="1" applyAlignment="1">
      <alignment horizontal="right" vertical="center" wrapText="1" indent="2" readingOrder="2"/>
    </xf>
    <xf numFmtId="1" fontId="1" fillId="0" borderId="0" xfId="25" applyFill="1" applyBorder="1" applyAlignment="1" applyProtection="1">
      <alignment horizontal="center" vertical="center" readingOrder="2"/>
    </xf>
    <xf numFmtId="0" fontId="0" fillId="0" borderId="0" xfId="0" applyFont="1" applyFill="1" applyBorder="1" applyAlignment="1" applyProtection="1">
      <alignment horizontal="right" vertical="center" indent="1" readingOrder="2"/>
    </xf>
    <xf numFmtId="166" fontId="0" fillId="0" borderId="0" xfId="0" applyNumberFormat="1" applyFont="1" applyFill="1" applyBorder="1" applyAlignment="1" applyProtection="1">
      <alignment horizontal="center" vertical="center" readingOrder="2"/>
    </xf>
    <xf numFmtId="0" fontId="0" fillId="0" borderId="0" xfId="0" applyAlignment="1">
      <alignment horizontal="right" vertical="center" readingOrder="2"/>
    </xf>
    <xf numFmtId="0" fontId="1" fillId="0" borderId="0" xfId="26" applyFill="1" applyBorder="1" applyAlignment="1" applyProtection="1">
      <alignment horizontal="right" vertical="center" wrapText="1" indent="2" readingOrder="2"/>
    </xf>
    <xf numFmtId="0" fontId="1" fillId="0" borderId="0" xfId="26" applyAlignment="1">
      <alignment horizontal="right" vertical="center" wrapText="1" indent="2" readingOrder="2"/>
    </xf>
    <xf numFmtId="0" fontId="9" fillId="2" borderId="0" xfId="3" applyAlignment="1" applyProtection="1">
      <alignment horizontal="center" vertical="center" readingOrder="2"/>
    </xf>
    <xf numFmtId="0" fontId="2" fillId="13" borderId="0" xfId="23" applyFont="1" applyAlignment="1" applyProtection="1">
      <alignment horizontal="center" vertical="center" readingOrder="2"/>
    </xf>
    <xf numFmtId="166" fontId="2" fillId="9" borderId="0" xfId="8" applyNumberFormat="1" applyFont="1" applyAlignment="1" applyProtection="1">
      <alignment horizontal="center" vertical="center" readingOrder="2"/>
    </xf>
    <xf numFmtId="166" fontId="2" fillId="14" borderId="0" xfId="24" applyNumberFormat="1" applyFont="1" applyAlignment="1" applyProtection="1">
      <alignment horizontal="center" vertical="center" readingOrder="2"/>
    </xf>
    <xf numFmtId="0" fontId="18" fillId="0" borderId="0" xfId="0" applyFont="1" applyFill="1" applyBorder="1" applyAlignment="1" applyProtection="1">
      <alignment horizontal="center" vertical="center" readingOrder="2"/>
    </xf>
    <xf numFmtId="0" fontId="7" fillId="0" borderId="0" xfId="1" applyAlignment="1" applyProtection="1">
      <alignment vertical="top" readingOrder="2"/>
    </xf>
    <xf numFmtId="0" fontId="0" fillId="0" borderId="0" xfId="0" applyAlignment="1">
      <alignment horizontal="left" vertical="center" readingOrder="2"/>
    </xf>
    <xf numFmtId="0" fontId="7" fillId="0" borderId="0" xfId="1" applyAlignment="1">
      <alignment vertical="top" readingOrder="2"/>
    </xf>
    <xf numFmtId="0" fontId="9" fillId="2" borderId="0" xfId="3" applyAlignment="1" applyProtection="1">
      <alignment horizontal="center" vertical="center" readingOrder="2"/>
    </xf>
    <xf numFmtId="0" fontId="1" fillId="2" borderId="0" xfId="21" applyAlignment="1" applyProtection="1">
      <alignment horizontal="right" vertical="center" readingOrder="2"/>
    </xf>
  </cellXfs>
  <cellStyles count="49">
    <cellStyle name="20% - تمييز1" xfId="15" builtinId="30" customBuiltin="1"/>
    <cellStyle name="20% - تمييز2" xfId="44" builtinId="34" customBuiltin="1"/>
    <cellStyle name="20% - تمييز3" xfId="21" builtinId="38" customBuiltin="1"/>
    <cellStyle name="20% - تمييز4" xfId="7" builtinId="42" customBuiltin="1"/>
    <cellStyle name="20% - تمييز5" xfId="47" builtinId="46" customBuiltin="1"/>
    <cellStyle name="20% - تمييز6" xfId="11" builtinId="50" customBuiltin="1"/>
    <cellStyle name="40% - تمييز1" xfId="16" builtinId="31" customBuiltin="1"/>
    <cellStyle name="40% - تمييز2" xfId="19" builtinId="35" customBuiltin="1"/>
    <cellStyle name="40% - تمييز3" xfId="22" builtinId="39" customBuiltin="1"/>
    <cellStyle name="40% - تمييز4" xfId="8" builtinId="43" customBuiltin="1"/>
    <cellStyle name="40% - تمييز5" xfId="24" builtinId="47" customBuiltin="1"/>
    <cellStyle name="40% - تمييز6" xfId="12" builtinId="51" customBuiltin="1"/>
    <cellStyle name="60% - تمييز1" xfId="17" builtinId="32" customBuiltin="1"/>
    <cellStyle name="60% - تمييز2" xfId="45" builtinId="36" customBuiltin="1"/>
    <cellStyle name="60% - تمييز3" xfId="23" builtinId="40" customBuiltin="1"/>
    <cellStyle name="60% - تمييز4" xfId="9" builtinId="44" customBuiltin="1"/>
    <cellStyle name="60% - تمييز5" xfId="48" builtinId="48" customBuiltin="1"/>
    <cellStyle name="60% - تمييز6" xfId="13" builtinId="52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Percent" xfId="32" builtinId="5" customBuiltin="1"/>
    <cellStyle name="إخراج" xfId="37" builtinId="21" customBuiltin="1"/>
    <cellStyle name="إدخال" xfId="36" builtinId="20" customBuiltin="1"/>
    <cellStyle name="الإجمالي" xfId="25" builtinId="25" customBuiltin="1"/>
    <cellStyle name="الموظف" xfId="26" xr:uid="{00000000-0005-0000-0000-000013000000}"/>
    <cellStyle name="تسمية" xfId="27" xr:uid="{00000000-0005-0000-0000-000018000000}"/>
    <cellStyle name="تمييز1" xfId="14" builtinId="29" customBuiltin="1"/>
    <cellStyle name="تمييز2" xfId="18" builtinId="33" customBuiltin="1"/>
    <cellStyle name="تمييز3" xfId="20" builtinId="37" customBuiltin="1"/>
    <cellStyle name="تمييز4" xfId="6" builtinId="41" customBuiltin="1"/>
    <cellStyle name="تمييز5" xfId="46" builtinId="45" customBuiltin="1"/>
    <cellStyle name="تمييز6" xfId="10" builtinId="49" customBuiltin="1"/>
    <cellStyle name="جيد" xfId="33" builtinId="26" customBuiltin="1"/>
    <cellStyle name="حساب" xfId="38" builtinId="22" customBuiltin="1"/>
    <cellStyle name="خلية تدقيق" xfId="40" builtinId="23" customBuiltin="1"/>
    <cellStyle name="خلية مرتبطة" xfId="39" builtinId="24" customBuiltin="1"/>
    <cellStyle name="سيئ" xfId="34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35" builtinId="28" customBuiltin="1"/>
    <cellStyle name="ملاحظة" xfId="42" builtinId="10" customBuiltin="1"/>
    <cellStyle name="نص تحذير" xfId="41" builtinId="11" customBuiltin="1"/>
    <cellStyle name="نص توضيحي" xfId="43" builtinId="53" customBuiltin="1"/>
  </cellStyles>
  <dxfs count="9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2" justifyLastLine="0" shrinkToFit="0" readingOrder="2"/>
      <protection locked="1" hidden="0"/>
    </dxf>
    <dxf>
      <alignment horizontal="right" vertical="center" textRotation="0" wrapText="1" indent="2" justifyLastLine="0" shrinkToFit="0" readingOrder="2"/>
    </dxf>
    <dxf>
      <alignment horizontal="right" vertical="center" textRotation="0" wrapText="0" indent="2" justifyLastLine="0" shrinkToFit="0" readingOrder="2"/>
    </dxf>
    <dxf>
      <alignment horizontal="right" vertical="center" textRotation="0" wrapText="1" indent="2" justifyLastLine="0" shrinkToFit="0" readingOrder="2"/>
    </dxf>
    <dxf>
      <alignment horizontal="right" vertical="center" textRotation="0" wrapText="0" indent="0" justifyLastLine="0" shrinkToFit="0" readingOrder="2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2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جدول غياب الموظفين" pivot="0" count="13" xr9:uid="{00000000-0011-0000-FFFF-FFFF00000000}">
      <tableStyleElement type="wholeTable" dxfId="906"/>
      <tableStyleElement type="headerRow" dxfId="905"/>
      <tableStyleElement type="totalRow" dxfId="904"/>
      <tableStyleElement type="firstColumn" dxfId="903"/>
      <tableStyleElement type="lastColumn" dxfId="902"/>
      <tableStyleElement type="firstRowStripe" dxfId="901"/>
      <tableStyleElement type="secondRowStripe" dxfId="900"/>
      <tableStyleElement type="firstColumnStripe" dxfId="899"/>
      <tableStyleElement type="secondColumnStripe" dxfId="898"/>
      <tableStyleElement type="firstHeaderCell" dxfId="897"/>
      <tableStyleElement type="lastHeaderCell" dxfId="896"/>
      <tableStyleElement type="firstTotalCell" dxfId="895"/>
      <tableStyleElement type="lastTotalCell" dxfId="8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يناير" displayName="يناير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اسم الموظف" totalsRowFunction="custom" dataDxfId="885" totalsRowDxfId="32" dataCellStyle="الموظف">
      <totalsRowFormula>"إجمالي شهر "&amp;MonthName</totalsRowFormula>
    </tableColumn>
    <tableColumn id="2" xr3:uid="{00000000-0010-0000-0000-000002000000}" name="1" totalsRowFunction="custom" dataDxfId="884" totalsRowDxfId="31">
      <totalsRowFormula>SUBTOTAL(103,يناير!$C$7:$C$11)</totalsRowFormula>
    </tableColumn>
    <tableColumn id="3" xr3:uid="{00000000-0010-0000-0000-000003000000}" name="2" totalsRowFunction="custom" dataDxfId="883" totalsRowDxfId="30">
      <totalsRowFormula>SUBTOTAL(103,يناير!$D$7:$D$11)</totalsRowFormula>
    </tableColumn>
    <tableColumn id="4" xr3:uid="{00000000-0010-0000-0000-000004000000}" name="3" totalsRowFunction="custom" dataDxfId="882" totalsRowDxfId="29">
      <totalsRowFormula>SUBTOTAL(103,يناير!$E$7:$E$11)</totalsRowFormula>
    </tableColumn>
    <tableColumn id="5" xr3:uid="{00000000-0010-0000-0000-000005000000}" name="4" totalsRowFunction="custom" dataDxfId="881" totalsRowDxfId="28">
      <totalsRowFormula>SUBTOTAL(103,يناير!$F$7:$F$11)</totalsRowFormula>
    </tableColumn>
    <tableColumn id="6" xr3:uid="{00000000-0010-0000-0000-000006000000}" name="5" totalsRowFunction="custom" totalsRowDxfId="27">
      <totalsRowFormula>SUBTOTAL(103,يناير!$G$7:$G$11)</totalsRowFormula>
    </tableColumn>
    <tableColumn id="7" xr3:uid="{00000000-0010-0000-0000-000007000000}" name="6" totalsRowFunction="custom" dataDxfId="880" totalsRowDxfId="26">
      <totalsRowFormula>SUBTOTAL(103,يناير!$H$7:$H$11)</totalsRowFormula>
    </tableColumn>
    <tableColumn id="8" xr3:uid="{00000000-0010-0000-0000-000008000000}" name="7" totalsRowFunction="custom" dataDxfId="879" totalsRowDxfId="25">
      <totalsRowFormula>SUBTOTAL(103,يناير!$I$7:$I$11)</totalsRowFormula>
    </tableColumn>
    <tableColumn id="9" xr3:uid="{00000000-0010-0000-0000-000009000000}" name="8" totalsRowFunction="custom" dataDxfId="878" totalsRowDxfId="24">
      <totalsRowFormula>SUBTOTAL(103,يناير!$J$7:$J$11)</totalsRowFormula>
    </tableColumn>
    <tableColumn id="10" xr3:uid="{00000000-0010-0000-0000-00000A000000}" name="9" totalsRowFunction="custom" dataDxfId="877" totalsRowDxfId="23">
      <totalsRowFormula>SUBTOTAL(103,يناير!$K$7:$K$11)</totalsRowFormula>
    </tableColumn>
    <tableColumn id="11" xr3:uid="{00000000-0010-0000-0000-00000B000000}" name="10" totalsRowFunction="custom" dataDxfId="876" totalsRowDxfId="22">
      <totalsRowFormula>SUBTOTAL(103,يناير!$L$7:$L$11)</totalsRowFormula>
    </tableColumn>
    <tableColumn id="12" xr3:uid="{00000000-0010-0000-0000-00000C000000}" name="11" totalsRowFunction="custom" dataDxfId="875" totalsRowDxfId="21">
      <totalsRowFormula>SUBTOTAL(103,يناير!$M$7:$M$11)</totalsRowFormula>
    </tableColumn>
    <tableColumn id="13" xr3:uid="{00000000-0010-0000-0000-00000D000000}" name="12" totalsRowFunction="custom" dataDxfId="874" totalsRowDxfId="20">
      <totalsRowFormula>SUBTOTAL(103,يناير!$N$7:$N$11)</totalsRowFormula>
    </tableColumn>
    <tableColumn id="14" xr3:uid="{00000000-0010-0000-0000-00000E000000}" name="13" totalsRowFunction="custom" dataDxfId="873" totalsRowDxfId="19">
      <totalsRowFormula>SUBTOTAL(103,يناير!$O$7:$O$11)</totalsRowFormula>
    </tableColumn>
    <tableColumn id="15" xr3:uid="{00000000-0010-0000-0000-00000F000000}" name="14" totalsRowFunction="custom" dataDxfId="872" totalsRowDxfId="18">
      <totalsRowFormula>SUBTOTAL(103,يناير!$P$7:$P$11)</totalsRowFormula>
    </tableColumn>
    <tableColumn id="16" xr3:uid="{00000000-0010-0000-0000-000010000000}" name="15" totalsRowFunction="custom" dataDxfId="871" totalsRowDxfId="17">
      <totalsRowFormula>SUBTOTAL(103,يناير!$Q$7:$Q$11)</totalsRowFormula>
    </tableColumn>
    <tableColumn id="17" xr3:uid="{00000000-0010-0000-0000-000011000000}" name="16" totalsRowFunction="custom" dataDxfId="870" totalsRowDxfId="16">
      <totalsRowFormula>SUBTOTAL(103,يناير!$R$7:$R$11)</totalsRowFormula>
    </tableColumn>
    <tableColumn id="18" xr3:uid="{00000000-0010-0000-0000-000012000000}" name="17" totalsRowFunction="custom" dataDxfId="869" totalsRowDxfId="15">
      <totalsRowFormula>SUBTOTAL(103,يناير!$S$7:$S$11)</totalsRowFormula>
    </tableColumn>
    <tableColumn id="19" xr3:uid="{00000000-0010-0000-0000-000013000000}" name="18" totalsRowFunction="custom" dataDxfId="868" totalsRowDxfId="14">
      <totalsRowFormula>SUBTOTAL(103,يناير!$T$7:$T$11)</totalsRowFormula>
    </tableColumn>
    <tableColumn id="20" xr3:uid="{00000000-0010-0000-0000-000014000000}" name="19" totalsRowFunction="custom" dataDxfId="867" totalsRowDxfId="13">
      <totalsRowFormula>SUBTOTAL(103,يناير!$U$7:$U$11)</totalsRowFormula>
    </tableColumn>
    <tableColumn id="21" xr3:uid="{00000000-0010-0000-0000-000015000000}" name="20" totalsRowFunction="custom" dataDxfId="866" totalsRowDxfId="12">
      <totalsRowFormula>SUBTOTAL(103,يناير!$V$7:$V$11)</totalsRowFormula>
    </tableColumn>
    <tableColumn id="22" xr3:uid="{00000000-0010-0000-0000-000016000000}" name="21" totalsRowFunction="custom" dataDxfId="865" totalsRowDxfId="11">
      <totalsRowFormula>SUBTOTAL(103,يناير!$W$7:$W$11)</totalsRowFormula>
    </tableColumn>
    <tableColumn id="23" xr3:uid="{00000000-0010-0000-0000-000017000000}" name="22" totalsRowFunction="custom" dataDxfId="864" totalsRowDxfId="10">
      <totalsRowFormula>SUBTOTAL(103,يناير!$X$7:$X$11)</totalsRowFormula>
    </tableColumn>
    <tableColumn id="24" xr3:uid="{00000000-0010-0000-0000-000018000000}" name="23" totalsRowFunction="custom" dataDxfId="863" totalsRowDxfId="9">
      <totalsRowFormula>SUBTOTAL(103,يناير!$Y$7:$Y$11)</totalsRowFormula>
    </tableColumn>
    <tableColumn id="25" xr3:uid="{00000000-0010-0000-0000-000019000000}" name="24" totalsRowFunction="custom" dataDxfId="862" totalsRowDxfId="8">
      <totalsRowFormula>SUBTOTAL(103,يناير!$Z$7:$Z$11)</totalsRowFormula>
    </tableColumn>
    <tableColumn id="26" xr3:uid="{00000000-0010-0000-0000-00001A000000}" name="25" totalsRowFunction="custom" dataDxfId="861" totalsRowDxfId="7">
      <totalsRowFormula>SUBTOTAL(103,يناير!$AA$7:$AA$11)</totalsRowFormula>
    </tableColumn>
    <tableColumn id="27" xr3:uid="{00000000-0010-0000-0000-00001B000000}" name="26" totalsRowFunction="custom" dataDxfId="860" totalsRowDxfId="6">
      <totalsRowFormula>SUBTOTAL(103,يناير!$AB$7:$AB$11)</totalsRowFormula>
    </tableColumn>
    <tableColumn id="28" xr3:uid="{00000000-0010-0000-0000-00001C000000}" name="27" totalsRowFunction="custom" dataDxfId="859" totalsRowDxfId="5">
      <totalsRowFormula>SUBTOTAL(103,يناير!$AC$7:$AC$11)</totalsRowFormula>
    </tableColumn>
    <tableColumn id="29" xr3:uid="{00000000-0010-0000-0000-00001D000000}" name="28" totalsRowFunction="custom" dataDxfId="858" totalsRowDxfId="4">
      <totalsRowFormula>SUBTOTAL(103,يناير!$AD$7:$AD$11)</totalsRowFormula>
    </tableColumn>
    <tableColumn id="30" xr3:uid="{00000000-0010-0000-0000-00001E000000}" name="29" totalsRowFunction="custom" dataDxfId="857" totalsRowDxfId="3">
      <totalsRowFormula>SUBTOTAL(103,يناير!$AE$7:$AE$11)</totalsRowFormula>
    </tableColumn>
    <tableColumn id="31" xr3:uid="{00000000-0010-0000-0000-00001F000000}" name="30" totalsRowFunction="custom" dataDxfId="856" totalsRowDxfId="2">
      <totalsRowFormula>SUBTOTAL(103,يناير!$AF$7:$AF$11)</totalsRowFormula>
    </tableColumn>
    <tableColumn id="32" xr3:uid="{00000000-0010-0000-0000-000020000000}" name="31" totalsRowFunction="custom" dataDxfId="855" totalsRowDxfId="1">
      <totalsRowFormula>SUBTOTAL(103,يناير!$AG$7:$AG$11)</totalsRowFormula>
    </tableColumn>
    <tableColumn id="33" xr3:uid="{00000000-0010-0000-0000-000021000000}" name="إجمالي الأيام" totalsRowFunction="sum" dataDxfId="854" totalsRowDxfId="0">
      <calculatedColumnFormula>COUNTA(يناير!$C7:$AG7)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أكتوبر" displayName="أكتوبر" ref="B6:AH12" totalsRowCount="1" headerRowDxfId="518" dataDxfId="517" totalsRowDxfId="516">
  <tableColumns count="33">
    <tableColumn id="1" xr3:uid="{00000000-0010-0000-0900-000001000000}" name="اسم الموظف" totalsRowFunction="custom" dataDxfId="515" totalsRowDxfId="329" dataCellStyle="الموظف">
      <totalsRowFormula>"إجمالي شهر "&amp;MonthName</totalsRowFormula>
    </tableColumn>
    <tableColumn id="2" xr3:uid="{00000000-0010-0000-0900-000002000000}" name="1" totalsRowFunction="count" dataDxfId="514" totalsRowDxfId="328"/>
    <tableColumn id="3" xr3:uid="{00000000-0010-0000-0900-000003000000}" name="2" totalsRowFunction="count" dataDxfId="513" totalsRowDxfId="327"/>
    <tableColumn id="4" xr3:uid="{00000000-0010-0000-0900-000004000000}" name="3" totalsRowFunction="count" dataDxfId="512" totalsRowDxfId="326"/>
    <tableColumn id="5" xr3:uid="{00000000-0010-0000-0900-000005000000}" name="4" totalsRowFunction="count" dataDxfId="511" totalsRowDxfId="325"/>
    <tableColumn id="6" xr3:uid="{00000000-0010-0000-0900-000006000000}" name="5" totalsRowFunction="count" dataDxfId="510" totalsRowDxfId="324"/>
    <tableColumn id="7" xr3:uid="{00000000-0010-0000-0900-000007000000}" name="6" totalsRowFunction="count" dataDxfId="509" totalsRowDxfId="323"/>
    <tableColumn id="8" xr3:uid="{00000000-0010-0000-0900-000008000000}" name="7" totalsRowFunction="count" dataDxfId="508" totalsRowDxfId="322"/>
    <tableColumn id="9" xr3:uid="{00000000-0010-0000-0900-000009000000}" name="8" totalsRowFunction="count" dataDxfId="507" totalsRowDxfId="321"/>
    <tableColumn id="10" xr3:uid="{00000000-0010-0000-0900-00000A000000}" name="9" totalsRowFunction="count" dataDxfId="506" totalsRowDxfId="320"/>
    <tableColumn id="11" xr3:uid="{00000000-0010-0000-0900-00000B000000}" name="10" totalsRowFunction="count" dataDxfId="505" totalsRowDxfId="319"/>
    <tableColumn id="12" xr3:uid="{00000000-0010-0000-0900-00000C000000}" name="11" totalsRowFunction="count" dataDxfId="504" totalsRowDxfId="318"/>
    <tableColumn id="13" xr3:uid="{00000000-0010-0000-0900-00000D000000}" name="12" totalsRowFunction="count" dataDxfId="503" totalsRowDxfId="317"/>
    <tableColumn id="14" xr3:uid="{00000000-0010-0000-0900-00000E000000}" name="13" totalsRowFunction="count" dataDxfId="502" totalsRowDxfId="316"/>
    <tableColumn id="15" xr3:uid="{00000000-0010-0000-0900-00000F000000}" name="14" totalsRowFunction="count" dataDxfId="501" totalsRowDxfId="315"/>
    <tableColumn id="16" xr3:uid="{00000000-0010-0000-0900-000010000000}" name="15" totalsRowFunction="count" dataDxfId="500" totalsRowDxfId="314"/>
    <tableColumn id="17" xr3:uid="{00000000-0010-0000-0900-000011000000}" name="16" totalsRowFunction="count" dataDxfId="499" totalsRowDxfId="313"/>
    <tableColumn id="18" xr3:uid="{00000000-0010-0000-0900-000012000000}" name="17" totalsRowFunction="count" dataDxfId="498" totalsRowDxfId="312"/>
    <tableColumn id="19" xr3:uid="{00000000-0010-0000-0900-000013000000}" name="18" totalsRowFunction="count" dataDxfId="497" totalsRowDxfId="311"/>
    <tableColumn id="20" xr3:uid="{00000000-0010-0000-0900-000014000000}" name="19" totalsRowFunction="count" dataDxfId="496" totalsRowDxfId="310"/>
    <tableColumn id="21" xr3:uid="{00000000-0010-0000-0900-000015000000}" name="20" totalsRowFunction="count" dataDxfId="495" totalsRowDxfId="309"/>
    <tableColumn id="22" xr3:uid="{00000000-0010-0000-0900-000016000000}" name="21" totalsRowFunction="count" dataDxfId="494" totalsRowDxfId="308"/>
    <tableColumn id="23" xr3:uid="{00000000-0010-0000-0900-000017000000}" name="22" totalsRowFunction="count" dataDxfId="493" totalsRowDxfId="307"/>
    <tableColumn id="24" xr3:uid="{00000000-0010-0000-0900-000018000000}" name="23" totalsRowFunction="count" dataDxfId="492" totalsRowDxfId="306"/>
    <tableColumn id="25" xr3:uid="{00000000-0010-0000-0900-000019000000}" name="24" totalsRowFunction="count" dataDxfId="491" totalsRowDxfId="305"/>
    <tableColumn id="26" xr3:uid="{00000000-0010-0000-0900-00001A000000}" name="25" totalsRowFunction="count" dataDxfId="490" totalsRowDxfId="304"/>
    <tableColumn id="27" xr3:uid="{00000000-0010-0000-0900-00001B000000}" name="26" totalsRowFunction="count" dataDxfId="489" totalsRowDxfId="303"/>
    <tableColumn id="28" xr3:uid="{00000000-0010-0000-0900-00001C000000}" name="27" totalsRowFunction="count" dataDxfId="488" totalsRowDxfId="302"/>
    <tableColumn id="29" xr3:uid="{00000000-0010-0000-0900-00001D000000}" name="28" totalsRowFunction="count" dataDxfId="487" totalsRowDxfId="301"/>
    <tableColumn id="30" xr3:uid="{00000000-0010-0000-0900-00001E000000}" name="29" totalsRowFunction="count" dataDxfId="486" totalsRowDxfId="300"/>
    <tableColumn id="31" xr3:uid="{00000000-0010-0000-0900-00001F000000}" name="30" totalsRowFunction="count" dataDxfId="485" totalsRowDxfId="299"/>
    <tableColumn id="32" xr3:uid="{00000000-0010-0000-0900-000020000000}" name="31" totalsRowFunction="count" dataDxfId="484" totalsRowDxfId="298"/>
    <tableColumn id="33" xr3:uid="{00000000-0010-0000-0900-000021000000}" name="إجمالي الأيام" totalsRowFunction="sum" dataDxfId="483" totalsRowDxfId="297">
      <calculatedColumnFormula>COUNTA(أكتوبر[[#This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نوفمبر" displayName="نوفمبر" ref="B6:AH12" totalsRowCount="1" headerRowDxfId="477" dataDxfId="476" totalsRowDxfId="475">
  <tableColumns count="33">
    <tableColumn id="1" xr3:uid="{00000000-0010-0000-0A00-000001000000}" name="اسم الموظف" totalsRowFunction="custom" dataDxfId="474" totalsRowDxfId="395" dataCellStyle="الموظف">
      <totalsRowFormula>"إجمالي شهر "&amp;MonthName</totalsRowFormula>
    </tableColumn>
    <tableColumn id="2" xr3:uid="{00000000-0010-0000-0A00-000002000000}" name="1" totalsRowFunction="count" dataDxfId="473" totalsRowDxfId="394"/>
    <tableColumn id="3" xr3:uid="{00000000-0010-0000-0A00-000003000000}" name="2" totalsRowFunction="count" dataDxfId="472" totalsRowDxfId="393"/>
    <tableColumn id="4" xr3:uid="{00000000-0010-0000-0A00-000004000000}" name="3" totalsRowFunction="count" dataDxfId="471" totalsRowDxfId="392"/>
    <tableColumn id="5" xr3:uid="{00000000-0010-0000-0A00-000005000000}" name="4" totalsRowFunction="count" dataDxfId="470" totalsRowDxfId="391"/>
    <tableColumn id="6" xr3:uid="{00000000-0010-0000-0A00-000006000000}" name="5" totalsRowFunction="count" dataDxfId="469" totalsRowDxfId="390"/>
    <tableColumn id="7" xr3:uid="{00000000-0010-0000-0A00-000007000000}" name="6" totalsRowFunction="count" dataDxfId="468" totalsRowDxfId="389"/>
    <tableColumn id="8" xr3:uid="{00000000-0010-0000-0A00-000008000000}" name="7" totalsRowFunction="count" dataDxfId="467" totalsRowDxfId="388"/>
    <tableColumn id="9" xr3:uid="{00000000-0010-0000-0A00-000009000000}" name="8" totalsRowFunction="count" dataDxfId="466" totalsRowDxfId="387"/>
    <tableColumn id="10" xr3:uid="{00000000-0010-0000-0A00-00000A000000}" name="9" totalsRowFunction="count" dataDxfId="465" totalsRowDxfId="386"/>
    <tableColumn id="11" xr3:uid="{00000000-0010-0000-0A00-00000B000000}" name="10" totalsRowFunction="count" dataDxfId="464" totalsRowDxfId="385"/>
    <tableColumn id="12" xr3:uid="{00000000-0010-0000-0A00-00000C000000}" name="11" totalsRowFunction="count" dataDxfId="463" totalsRowDxfId="384"/>
    <tableColumn id="13" xr3:uid="{00000000-0010-0000-0A00-00000D000000}" name="12" totalsRowFunction="count" dataDxfId="462" totalsRowDxfId="383"/>
    <tableColumn id="14" xr3:uid="{00000000-0010-0000-0A00-00000E000000}" name="13" totalsRowFunction="count" dataDxfId="461" totalsRowDxfId="382"/>
    <tableColumn id="15" xr3:uid="{00000000-0010-0000-0A00-00000F000000}" name="14" totalsRowFunction="count" dataDxfId="460" totalsRowDxfId="381"/>
    <tableColumn id="16" xr3:uid="{00000000-0010-0000-0A00-000010000000}" name="15" totalsRowFunction="count" dataDxfId="459" totalsRowDxfId="380"/>
    <tableColumn id="17" xr3:uid="{00000000-0010-0000-0A00-000011000000}" name="16" totalsRowFunction="count" dataDxfId="458" totalsRowDxfId="379"/>
    <tableColumn id="18" xr3:uid="{00000000-0010-0000-0A00-000012000000}" name="17" totalsRowFunction="count" dataDxfId="457" totalsRowDxfId="378"/>
    <tableColumn id="19" xr3:uid="{00000000-0010-0000-0A00-000013000000}" name="18" totalsRowFunction="count" dataDxfId="456" totalsRowDxfId="377"/>
    <tableColumn id="20" xr3:uid="{00000000-0010-0000-0A00-000014000000}" name="19" totalsRowFunction="count" dataDxfId="455" totalsRowDxfId="376"/>
    <tableColumn id="21" xr3:uid="{00000000-0010-0000-0A00-000015000000}" name="20" totalsRowFunction="count" dataDxfId="454" totalsRowDxfId="375"/>
    <tableColumn id="22" xr3:uid="{00000000-0010-0000-0A00-000016000000}" name="21" totalsRowFunction="count" dataDxfId="453" totalsRowDxfId="374"/>
    <tableColumn id="23" xr3:uid="{00000000-0010-0000-0A00-000017000000}" name="22" totalsRowFunction="count" dataDxfId="452" totalsRowDxfId="373"/>
    <tableColumn id="24" xr3:uid="{00000000-0010-0000-0A00-000018000000}" name="23" totalsRowFunction="count" dataDxfId="451" totalsRowDxfId="372"/>
    <tableColumn id="25" xr3:uid="{00000000-0010-0000-0A00-000019000000}" name="24" totalsRowFunction="count" dataDxfId="450" totalsRowDxfId="371"/>
    <tableColumn id="26" xr3:uid="{00000000-0010-0000-0A00-00001A000000}" name="25" totalsRowFunction="count" dataDxfId="449" totalsRowDxfId="370"/>
    <tableColumn id="27" xr3:uid="{00000000-0010-0000-0A00-00001B000000}" name="26" totalsRowFunction="count" dataDxfId="448" totalsRowDxfId="369"/>
    <tableColumn id="28" xr3:uid="{00000000-0010-0000-0A00-00001C000000}" name="27" totalsRowFunction="count" dataDxfId="447" totalsRowDxfId="368"/>
    <tableColumn id="29" xr3:uid="{00000000-0010-0000-0A00-00001D000000}" name="28" totalsRowFunction="count" dataDxfId="446" totalsRowDxfId="367"/>
    <tableColumn id="30" xr3:uid="{00000000-0010-0000-0A00-00001E000000}" name="29" totalsRowFunction="count" dataDxfId="445" totalsRowDxfId="366"/>
    <tableColumn id="31" xr3:uid="{00000000-0010-0000-0A00-00001F000000}" name="30" totalsRowFunction="count" dataDxfId="444" totalsRowDxfId="365"/>
    <tableColumn id="32" xr3:uid="{00000000-0010-0000-0A00-000020000000}" name=" " totalsRowFunction="count" dataDxfId="443" totalsRowDxfId="364"/>
    <tableColumn id="33" xr3:uid="{00000000-0010-0000-0A00-000021000000}" name="إجمالي الأيام" totalsRowFunction="sum" dataDxfId="442" totalsRowDxfId="363">
      <calculatedColumnFormula>COUNTA(نوفمبر[[#This Row],[1]:[30]])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ديسمبر" displayName="ديسمبر" ref="B6:AH12" totalsRowCount="1" headerRowDxfId="436" dataDxfId="435" totalsRowDxfId="434">
  <tableColumns count="33">
    <tableColumn id="1" xr3:uid="{00000000-0010-0000-0B00-000001000000}" name="اسم الموظف" totalsRowFunction="custom" dataDxfId="433" totalsRowDxfId="362" dataCellStyle="الموظف">
      <totalsRowFormula>"إجمالي شهر "&amp;MonthName</totalsRowFormula>
    </tableColumn>
    <tableColumn id="2" xr3:uid="{00000000-0010-0000-0B00-000002000000}" name="1" totalsRowFunction="count" dataDxfId="432" totalsRowDxfId="361"/>
    <tableColumn id="3" xr3:uid="{00000000-0010-0000-0B00-000003000000}" name="2" totalsRowFunction="count" dataDxfId="431" totalsRowDxfId="360"/>
    <tableColumn id="4" xr3:uid="{00000000-0010-0000-0B00-000004000000}" name="3" totalsRowFunction="count" dataDxfId="430" totalsRowDxfId="359"/>
    <tableColumn id="5" xr3:uid="{00000000-0010-0000-0B00-000005000000}" name="4" totalsRowFunction="count" dataDxfId="429" totalsRowDxfId="358"/>
    <tableColumn id="6" xr3:uid="{00000000-0010-0000-0B00-000006000000}" name="5" totalsRowFunction="count" dataDxfId="428" totalsRowDxfId="357"/>
    <tableColumn id="7" xr3:uid="{00000000-0010-0000-0B00-000007000000}" name="6" totalsRowFunction="count" dataDxfId="427" totalsRowDxfId="356"/>
    <tableColumn id="8" xr3:uid="{00000000-0010-0000-0B00-000008000000}" name="7" totalsRowFunction="count" dataDxfId="426" totalsRowDxfId="355"/>
    <tableColumn id="9" xr3:uid="{00000000-0010-0000-0B00-000009000000}" name="8" totalsRowFunction="count" dataDxfId="425" totalsRowDxfId="354"/>
    <tableColumn id="10" xr3:uid="{00000000-0010-0000-0B00-00000A000000}" name="9" totalsRowFunction="count" dataDxfId="424" totalsRowDxfId="353"/>
    <tableColumn id="11" xr3:uid="{00000000-0010-0000-0B00-00000B000000}" name="10" totalsRowFunction="count" dataDxfId="423" totalsRowDxfId="352"/>
    <tableColumn id="12" xr3:uid="{00000000-0010-0000-0B00-00000C000000}" name="11" totalsRowFunction="count" dataDxfId="422" totalsRowDxfId="351"/>
    <tableColumn id="13" xr3:uid="{00000000-0010-0000-0B00-00000D000000}" name="12" totalsRowFunction="count" dataDxfId="421" totalsRowDxfId="350"/>
    <tableColumn id="14" xr3:uid="{00000000-0010-0000-0B00-00000E000000}" name="13" totalsRowFunction="count" dataDxfId="420" totalsRowDxfId="349"/>
    <tableColumn id="15" xr3:uid="{00000000-0010-0000-0B00-00000F000000}" name="14" totalsRowFunction="count" dataDxfId="419" totalsRowDxfId="348"/>
    <tableColumn id="16" xr3:uid="{00000000-0010-0000-0B00-000010000000}" name="15" totalsRowFunction="count" dataDxfId="418" totalsRowDxfId="347"/>
    <tableColumn id="17" xr3:uid="{00000000-0010-0000-0B00-000011000000}" name="16" totalsRowFunction="count" dataDxfId="417" totalsRowDxfId="346"/>
    <tableColumn id="18" xr3:uid="{00000000-0010-0000-0B00-000012000000}" name="17" totalsRowFunction="count" dataDxfId="416" totalsRowDxfId="345"/>
    <tableColumn id="19" xr3:uid="{00000000-0010-0000-0B00-000013000000}" name="18" totalsRowFunction="count" dataDxfId="415" totalsRowDxfId="344"/>
    <tableColumn id="20" xr3:uid="{00000000-0010-0000-0B00-000014000000}" name="19" totalsRowFunction="count" dataDxfId="414" totalsRowDxfId="343"/>
    <tableColumn id="21" xr3:uid="{00000000-0010-0000-0B00-000015000000}" name="20" totalsRowFunction="count" dataDxfId="413" totalsRowDxfId="342"/>
    <tableColumn id="22" xr3:uid="{00000000-0010-0000-0B00-000016000000}" name="21" totalsRowFunction="count" dataDxfId="412" totalsRowDxfId="341"/>
    <tableColumn id="23" xr3:uid="{00000000-0010-0000-0B00-000017000000}" name="22" totalsRowFunction="count" dataDxfId="411" totalsRowDxfId="340"/>
    <tableColumn id="24" xr3:uid="{00000000-0010-0000-0B00-000018000000}" name="23" totalsRowFunction="count" dataDxfId="410" totalsRowDxfId="339"/>
    <tableColumn id="25" xr3:uid="{00000000-0010-0000-0B00-000019000000}" name="24" totalsRowFunction="count" dataDxfId="409" totalsRowDxfId="338"/>
    <tableColumn id="26" xr3:uid="{00000000-0010-0000-0B00-00001A000000}" name="25" totalsRowFunction="count" dataDxfId="408" totalsRowDxfId="337"/>
    <tableColumn id="27" xr3:uid="{00000000-0010-0000-0B00-00001B000000}" name="26" totalsRowFunction="count" dataDxfId="407" totalsRowDxfId="336"/>
    <tableColumn id="28" xr3:uid="{00000000-0010-0000-0B00-00001C000000}" name="27" totalsRowFunction="count" dataDxfId="406" totalsRowDxfId="335"/>
    <tableColumn id="29" xr3:uid="{00000000-0010-0000-0B00-00001D000000}" name="28" totalsRowFunction="count" dataDxfId="405" totalsRowDxfId="334"/>
    <tableColumn id="30" xr3:uid="{00000000-0010-0000-0B00-00001E000000}" name="29" totalsRowFunction="count" dataDxfId="404" totalsRowDxfId="333"/>
    <tableColumn id="31" xr3:uid="{00000000-0010-0000-0B00-00001F000000}" name="30" totalsRowFunction="count" dataDxfId="403" totalsRowDxfId="332"/>
    <tableColumn id="32" xr3:uid="{00000000-0010-0000-0B00-000020000000}" name="31" totalsRowFunction="count" dataDxfId="402" totalsRowDxfId="331"/>
    <tableColumn id="33" xr3:uid="{00000000-0010-0000-0B00-000021000000}" name="إجمالي الأيام" totalsRowFunction="sum" dataDxfId="401" totalsRowDxfId="330">
      <calculatedColumnFormula>COUNTA(ديسمبر[[#This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يوفر قائمة بأسماء وتواريخ التقويم لتسجيل غياب الموظفين ونوع الغياب المحدد، مثل ع = غياب لقضاء عطلة، م = غياب مرضي، ش = غياب لأسباب شخصية والعنصران النائبان هما لإدخالات مخصصة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اسم_الموظف" displayName="اسم_الموظف" ref="B3:B8" headerRowDxfId="400" dataDxfId="399" totalsRowDxfId="398" dataCellStyle="الموظف">
  <autoFilter ref="B3:B8" xr:uid="{00000000-0009-0000-0100-00000D000000}"/>
  <tableColumns count="1">
    <tableColumn id="1" xr3:uid="{00000000-0010-0000-0C00-000001000000}" name="أسماء الموظفين" totalsRowFunction="count" dataDxfId="397" totalsRowDxfId="396" dataCellStyle="الموظف"/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في هذا الجدول. يتم استخدام هذه الأسماء كخيارات في العمود B لكل جدول غياب في الشهر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فبراير" displayName="فبراير" ref="B6:AH12" totalsRowCount="1" headerRowDxfId="846" dataDxfId="845" totalsRowDxfId="844">
  <tableColumns count="33">
    <tableColumn id="1" xr3:uid="{00000000-0010-0000-0100-000001000000}" name="اسم الموظف" totalsRowFunction="custom" dataDxfId="843" totalsRowDxfId="65" dataCellStyle="الموظف">
      <totalsRowFormula>"إجمالي شهر "&amp;MonthName</totalsRowFormula>
    </tableColumn>
    <tableColumn id="2" xr3:uid="{00000000-0010-0000-0100-000002000000}" name="1" totalsRowFunction="count" dataDxfId="842" totalsRowDxfId="64"/>
    <tableColumn id="3" xr3:uid="{00000000-0010-0000-0100-000003000000}" name="2" totalsRowFunction="count" dataDxfId="841" totalsRowDxfId="63"/>
    <tableColumn id="4" xr3:uid="{00000000-0010-0000-0100-000004000000}" name="3" totalsRowFunction="count" dataDxfId="840" totalsRowDxfId="62"/>
    <tableColumn id="5" xr3:uid="{00000000-0010-0000-0100-000005000000}" name="4" totalsRowFunction="count" dataDxfId="839" totalsRowDxfId="61"/>
    <tableColumn id="6" xr3:uid="{00000000-0010-0000-0100-000006000000}" name="5" totalsRowFunction="count" dataDxfId="838" totalsRowDxfId="60"/>
    <tableColumn id="7" xr3:uid="{00000000-0010-0000-0100-000007000000}" name="6" totalsRowFunction="count" dataDxfId="837" totalsRowDxfId="59"/>
    <tableColumn id="8" xr3:uid="{00000000-0010-0000-0100-000008000000}" name="7" totalsRowFunction="count" dataDxfId="836" totalsRowDxfId="58"/>
    <tableColumn id="9" xr3:uid="{00000000-0010-0000-0100-000009000000}" name="8" totalsRowFunction="count" dataDxfId="835" totalsRowDxfId="57"/>
    <tableColumn id="10" xr3:uid="{00000000-0010-0000-0100-00000A000000}" name="9" totalsRowFunction="count" dataDxfId="834" totalsRowDxfId="56"/>
    <tableColumn id="11" xr3:uid="{00000000-0010-0000-0100-00000B000000}" name="10" totalsRowFunction="count" dataDxfId="833" totalsRowDxfId="55"/>
    <tableColumn id="12" xr3:uid="{00000000-0010-0000-0100-00000C000000}" name="11" totalsRowFunction="count" dataDxfId="832" totalsRowDxfId="54"/>
    <tableColumn id="13" xr3:uid="{00000000-0010-0000-0100-00000D000000}" name="12" totalsRowFunction="count" dataDxfId="831" totalsRowDxfId="53"/>
    <tableColumn id="14" xr3:uid="{00000000-0010-0000-0100-00000E000000}" name="13" totalsRowFunction="count" dataDxfId="830" totalsRowDxfId="52"/>
    <tableColumn id="15" xr3:uid="{00000000-0010-0000-0100-00000F000000}" name="14" totalsRowFunction="count" dataDxfId="829" totalsRowDxfId="51"/>
    <tableColumn id="16" xr3:uid="{00000000-0010-0000-0100-000010000000}" name="15" totalsRowFunction="count" dataDxfId="828" totalsRowDxfId="50"/>
    <tableColumn id="17" xr3:uid="{00000000-0010-0000-0100-000011000000}" name="16" totalsRowFunction="count" dataDxfId="827" totalsRowDxfId="49"/>
    <tableColumn id="18" xr3:uid="{00000000-0010-0000-0100-000012000000}" name="17" totalsRowFunction="count" dataDxfId="826" totalsRowDxfId="48"/>
    <tableColumn id="19" xr3:uid="{00000000-0010-0000-0100-000013000000}" name="18" totalsRowFunction="count" dataDxfId="825" totalsRowDxfId="47"/>
    <tableColumn id="20" xr3:uid="{00000000-0010-0000-0100-000014000000}" name="19" totalsRowFunction="count" dataDxfId="824" totalsRowDxfId="46"/>
    <tableColumn id="21" xr3:uid="{00000000-0010-0000-0100-000015000000}" name="20" totalsRowFunction="count" dataDxfId="823" totalsRowDxfId="45"/>
    <tableColumn id="22" xr3:uid="{00000000-0010-0000-0100-000016000000}" name="21" totalsRowFunction="count" dataDxfId="822" totalsRowDxfId="44"/>
    <tableColumn id="23" xr3:uid="{00000000-0010-0000-0100-000017000000}" name="22" totalsRowFunction="count" dataDxfId="821" totalsRowDxfId="43"/>
    <tableColumn id="24" xr3:uid="{00000000-0010-0000-0100-000018000000}" name="23" totalsRowFunction="count" dataDxfId="820" totalsRowDxfId="42"/>
    <tableColumn id="25" xr3:uid="{00000000-0010-0000-0100-000019000000}" name="24" totalsRowFunction="count" dataDxfId="819" totalsRowDxfId="41"/>
    <tableColumn id="26" xr3:uid="{00000000-0010-0000-0100-00001A000000}" name="25" totalsRowFunction="count" dataDxfId="818" totalsRowDxfId="40"/>
    <tableColumn id="27" xr3:uid="{00000000-0010-0000-0100-00001B000000}" name="26" totalsRowFunction="count" dataDxfId="817" totalsRowDxfId="39"/>
    <tableColumn id="28" xr3:uid="{00000000-0010-0000-0100-00001C000000}" name="27" totalsRowFunction="count" dataDxfId="816" totalsRowDxfId="38"/>
    <tableColumn id="29" xr3:uid="{00000000-0010-0000-0100-00001D000000}" name="28" totalsRowFunction="count" dataDxfId="815" totalsRowDxfId="37"/>
    <tableColumn id="30" xr3:uid="{00000000-0010-0000-0100-00001E000000}" name="29" totalsRowFunction="count" dataDxfId="814" totalsRowDxfId="36"/>
    <tableColumn id="31" xr3:uid="{00000000-0010-0000-0100-00001F000000}" name=" " dataDxfId="813" totalsRowDxfId="35"/>
    <tableColumn id="32" xr3:uid="{00000000-0010-0000-0100-000020000000}" name="  " dataDxfId="812" totalsRowDxfId="34"/>
    <tableColumn id="33" xr3:uid="{00000000-0010-0000-0100-000021000000}" name="إجمالي الأيام" totalsRowFunction="sum" dataDxfId="811" totalsRowDxfId="33">
      <calculatedColumnFormula>COUNTA(فبراير[[#This Row],[1]:[29]])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مارس" displayName="مارس" ref="B6:AH12" totalsRowCount="1" headerRowDxfId="805" dataDxfId="804" totalsRowDxfId="803">
  <tableColumns count="33">
    <tableColumn id="1" xr3:uid="{00000000-0010-0000-0200-000001000000}" name="اسم الموظف" totalsRowFunction="custom" dataDxfId="802" totalsRowDxfId="98" dataCellStyle="الموظف">
      <totalsRowFormula>"إجمالي شهر "&amp;MonthName</totalsRowFormula>
    </tableColumn>
    <tableColumn id="2" xr3:uid="{00000000-0010-0000-0200-000002000000}" name="1" totalsRowFunction="count" dataDxfId="801" totalsRowDxfId="97"/>
    <tableColumn id="3" xr3:uid="{00000000-0010-0000-0200-000003000000}" name="2" totalsRowFunction="count" dataDxfId="800" totalsRowDxfId="96"/>
    <tableColumn id="4" xr3:uid="{00000000-0010-0000-0200-000004000000}" name="3" totalsRowFunction="count" dataDxfId="799" totalsRowDxfId="95"/>
    <tableColumn id="5" xr3:uid="{00000000-0010-0000-0200-000005000000}" name="4" totalsRowFunction="count" dataDxfId="798" totalsRowDxfId="94"/>
    <tableColumn id="6" xr3:uid="{00000000-0010-0000-0200-000006000000}" name="5" totalsRowFunction="count" dataDxfId="797" totalsRowDxfId="93"/>
    <tableColumn id="7" xr3:uid="{00000000-0010-0000-0200-000007000000}" name="6" totalsRowFunction="count" dataDxfId="796" totalsRowDxfId="92"/>
    <tableColumn id="8" xr3:uid="{00000000-0010-0000-0200-000008000000}" name="7" totalsRowFunction="count" dataDxfId="795" totalsRowDxfId="91"/>
    <tableColumn id="9" xr3:uid="{00000000-0010-0000-0200-000009000000}" name="8" totalsRowFunction="count" dataDxfId="794" totalsRowDxfId="90"/>
    <tableColumn id="10" xr3:uid="{00000000-0010-0000-0200-00000A000000}" name="9" totalsRowFunction="count" dataDxfId="793" totalsRowDxfId="89"/>
    <tableColumn id="11" xr3:uid="{00000000-0010-0000-0200-00000B000000}" name="10" totalsRowFunction="count" dataDxfId="792" totalsRowDxfId="88"/>
    <tableColumn id="12" xr3:uid="{00000000-0010-0000-0200-00000C000000}" name="11" totalsRowFunction="count" dataDxfId="791" totalsRowDxfId="87"/>
    <tableColumn id="13" xr3:uid="{00000000-0010-0000-0200-00000D000000}" name="12" totalsRowFunction="count" dataDxfId="790" totalsRowDxfId="86"/>
    <tableColumn id="14" xr3:uid="{00000000-0010-0000-0200-00000E000000}" name="13" totalsRowFunction="count" dataDxfId="789" totalsRowDxfId="85"/>
    <tableColumn id="15" xr3:uid="{00000000-0010-0000-0200-00000F000000}" name="14" totalsRowFunction="count" dataDxfId="788" totalsRowDxfId="84"/>
    <tableColumn id="16" xr3:uid="{00000000-0010-0000-0200-000010000000}" name="15" totalsRowFunction="count" dataDxfId="787" totalsRowDxfId="83"/>
    <tableColumn id="17" xr3:uid="{00000000-0010-0000-0200-000011000000}" name="16" totalsRowFunction="count" dataDxfId="786" totalsRowDxfId="82"/>
    <tableColumn id="18" xr3:uid="{00000000-0010-0000-0200-000012000000}" name="17" totalsRowFunction="count" dataDxfId="785" totalsRowDxfId="81"/>
    <tableColumn id="19" xr3:uid="{00000000-0010-0000-0200-000013000000}" name="18" totalsRowFunction="count" dataDxfId="784" totalsRowDxfId="80"/>
    <tableColumn id="20" xr3:uid="{00000000-0010-0000-0200-000014000000}" name="19" totalsRowFunction="count" dataDxfId="783" totalsRowDxfId="79"/>
    <tableColumn id="21" xr3:uid="{00000000-0010-0000-0200-000015000000}" name="20" totalsRowFunction="count" dataDxfId="782" totalsRowDxfId="78"/>
    <tableColumn id="22" xr3:uid="{00000000-0010-0000-0200-000016000000}" name="21" totalsRowFunction="count" dataDxfId="781" totalsRowDxfId="77"/>
    <tableColumn id="23" xr3:uid="{00000000-0010-0000-0200-000017000000}" name="22" totalsRowFunction="count" dataDxfId="780" totalsRowDxfId="76"/>
    <tableColumn id="24" xr3:uid="{00000000-0010-0000-0200-000018000000}" name="23" totalsRowFunction="count" dataDxfId="779" totalsRowDxfId="75"/>
    <tableColumn id="25" xr3:uid="{00000000-0010-0000-0200-000019000000}" name="24" totalsRowFunction="count" dataDxfId="778" totalsRowDxfId="74"/>
    <tableColumn id="26" xr3:uid="{00000000-0010-0000-0200-00001A000000}" name="25" totalsRowFunction="count" dataDxfId="777" totalsRowDxfId="73"/>
    <tableColumn id="27" xr3:uid="{00000000-0010-0000-0200-00001B000000}" name="26" totalsRowFunction="count" dataDxfId="776" totalsRowDxfId="72"/>
    <tableColumn id="28" xr3:uid="{00000000-0010-0000-0200-00001C000000}" name="27" totalsRowFunction="count" dataDxfId="775" totalsRowDxfId="71"/>
    <tableColumn id="29" xr3:uid="{00000000-0010-0000-0200-00001D000000}" name="28" totalsRowFunction="count" dataDxfId="774" totalsRowDxfId="70"/>
    <tableColumn id="30" xr3:uid="{00000000-0010-0000-0200-00001E000000}" name="29" totalsRowFunction="count" dataDxfId="773" totalsRowDxfId="69"/>
    <tableColumn id="31" xr3:uid="{00000000-0010-0000-0200-00001F000000}" name="30" totalsRowFunction="count" dataDxfId="772" totalsRowDxfId="68"/>
    <tableColumn id="32" xr3:uid="{00000000-0010-0000-0200-000020000000}" name="31" totalsRowFunction="count" dataDxfId="771" totalsRowDxfId="67"/>
    <tableColumn id="33" xr3:uid="{00000000-0010-0000-0200-000021000000}" name="إجمالي الأيام" totalsRowFunction="sum" dataDxfId="770" totalsRowDxfId="66">
      <calculatedColumnFormula>COUNTA(مارس[[#This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أبريل" displayName="أبريل" ref="B6:AH12" totalsRowCount="1" headerRowDxfId="764" dataDxfId="763" totalsRowDxfId="762">
  <tableColumns count="33">
    <tableColumn id="1" xr3:uid="{00000000-0010-0000-0300-000001000000}" name="اسم الموظف" totalsRowFunction="custom" dataDxfId="761" totalsRowDxfId="131" dataCellStyle="الموظف">
      <totalsRowFormula>"إجمالي شهر "&amp;MonthName</totalsRowFormula>
    </tableColumn>
    <tableColumn id="2" xr3:uid="{00000000-0010-0000-0300-000002000000}" name="1" totalsRowFunction="count" dataDxfId="760" totalsRowDxfId="130"/>
    <tableColumn id="3" xr3:uid="{00000000-0010-0000-0300-000003000000}" name="2" totalsRowFunction="count" dataDxfId="759" totalsRowDxfId="129"/>
    <tableColumn id="4" xr3:uid="{00000000-0010-0000-0300-000004000000}" name="3" totalsRowFunction="count" dataDxfId="758" totalsRowDxfId="128"/>
    <tableColumn id="5" xr3:uid="{00000000-0010-0000-0300-000005000000}" name="4" totalsRowFunction="count" dataDxfId="757" totalsRowDxfId="127"/>
    <tableColumn id="6" xr3:uid="{00000000-0010-0000-0300-000006000000}" name="5" totalsRowFunction="count" dataDxfId="756" totalsRowDxfId="126"/>
    <tableColumn id="7" xr3:uid="{00000000-0010-0000-0300-000007000000}" name="6" totalsRowFunction="count" dataDxfId="755" totalsRowDxfId="125"/>
    <tableColumn id="8" xr3:uid="{00000000-0010-0000-0300-000008000000}" name="7" totalsRowFunction="count" dataDxfId="754" totalsRowDxfId="124"/>
    <tableColumn id="9" xr3:uid="{00000000-0010-0000-0300-000009000000}" name="8" totalsRowFunction="count" dataDxfId="753" totalsRowDxfId="123"/>
    <tableColumn id="10" xr3:uid="{00000000-0010-0000-0300-00000A000000}" name="9" totalsRowFunction="count" dataDxfId="752" totalsRowDxfId="122"/>
    <tableColumn id="11" xr3:uid="{00000000-0010-0000-0300-00000B000000}" name="10" totalsRowFunction="count" dataDxfId="751" totalsRowDxfId="121"/>
    <tableColumn id="12" xr3:uid="{00000000-0010-0000-0300-00000C000000}" name="11" totalsRowFunction="count" dataDxfId="750" totalsRowDxfId="120"/>
    <tableColumn id="13" xr3:uid="{00000000-0010-0000-0300-00000D000000}" name="12" totalsRowFunction="count" dataDxfId="749" totalsRowDxfId="119"/>
    <tableColumn id="14" xr3:uid="{00000000-0010-0000-0300-00000E000000}" name="13" totalsRowFunction="count" dataDxfId="748" totalsRowDxfId="118"/>
    <tableColumn id="15" xr3:uid="{00000000-0010-0000-0300-00000F000000}" name="14" totalsRowFunction="count" dataDxfId="747" totalsRowDxfId="117"/>
    <tableColumn id="16" xr3:uid="{00000000-0010-0000-0300-000010000000}" name="15" totalsRowFunction="count" dataDxfId="746" totalsRowDxfId="116"/>
    <tableColumn id="17" xr3:uid="{00000000-0010-0000-0300-000011000000}" name="16" totalsRowFunction="count" dataDxfId="745" totalsRowDxfId="115"/>
    <tableColumn id="18" xr3:uid="{00000000-0010-0000-0300-000012000000}" name="17" totalsRowFunction="count" dataDxfId="744" totalsRowDxfId="114"/>
    <tableColumn id="19" xr3:uid="{00000000-0010-0000-0300-000013000000}" name="18" totalsRowFunction="count" dataDxfId="743" totalsRowDxfId="113"/>
    <tableColumn id="20" xr3:uid="{00000000-0010-0000-0300-000014000000}" name="19" totalsRowFunction="count" dataDxfId="742" totalsRowDxfId="112"/>
    <tableColumn id="21" xr3:uid="{00000000-0010-0000-0300-000015000000}" name="20" totalsRowFunction="count" dataDxfId="741" totalsRowDxfId="111"/>
    <tableColumn id="22" xr3:uid="{00000000-0010-0000-0300-000016000000}" name="21" totalsRowFunction="count" dataDxfId="740" totalsRowDxfId="110"/>
    <tableColumn id="23" xr3:uid="{00000000-0010-0000-0300-000017000000}" name="22" totalsRowFunction="count" dataDxfId="739" totalsRowDxfId="109"/>
    <tableColumn id="24" xr3:uid="{00000000-0010-0000-0300-000018000000}" name="23" totalsRowFunction="count" dataDxfId="738" totalsRowDxfId="108"/>
    <tableColumn id="25" xr3:uid="{00000000-0010-0000-0300-000019000000}" name="24" totalsRowFunction="count" dataDxfId="737" totalsRowDxfId="107"/>
    <tableColumn id="26" xr3:uid="{00000000-0010-0000-0300-00001A000000}" name="25" totalsRowFunction="count" dataDxfId="736" totalsRowDxfId="106"/>
    <tableColumn id="27" xr3:uid="{00000000-0010-0000-0300-00001B000000}" name="26" totalsRowFunction="count" dataDxfId="735" totalsRowDxfId="105"/>
    <tableColumn id="28" xr3:uid="{00000000-0010-0000-0300-00001C000000}" name="27" totalsRowFunction="count" dataDxfId="734" totalsRowDxfId="104"/>
    <tableColumn id="29" xr3:uid="{00000000-0010-0000-0300-00001D000000}" name="28" totalsRowFunction="count" dataDxfId="733" totalsRowDxfId="103"/>
    <tableColumn id="30" xr3:uid="{00000000-0010-0000-0300-00001E000000}" name="29" totalsRowFunction="count" dataDxfId="732" totalsRowDxfId="102"/>
    <tableColumn id="31" xr3:uid="{00000000-0010-0000-0300-00001F000000}" name="30" totalsRowFunction="count" dataDxfId="731" totalsRowDxfId="101"/>
    <tableColumn id="32" xr3:uid="{00000000-0010-0000-0300-000020000000}" name=" " totalsRowFunction="custom" dataDxfId="730" totalsRowDxfId="100">
      <totalsRowFormula>SUBTOTAL(103,أبريل[30])</totalsRowFormula>
    </tableColumn>
    <tableColumn id="33" xr3:uid="{00000000-0010-0000-0300-000021000000}" name="إجمالي الأيام" totalsRowFunction="sum" dataDxfId="729" totalsRowDxfId="99">
      <calculatedColumnFormula>COUNTA(أبريل[[#This Row],[1]:[30]])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مايو" displayName="مايو" ref="B6:AH12" totalsRowCount="1" headerRowDxfId="723" dataDxfId="722" totalsRowDxfId="721">
  <tableColumns count="33">
    <tableColumn id="1" xr3:uid="{00000000-0010-0000-0400-000001000000}" name="اسم الموظف" totalsRowFunction="custom" dataDxfId="720" totalsRowDxfId="164" dataCellStyle="الموظف">
      <totalsRowFormula>"إجمالي شهر "&amp;MonthName</totalsRowFormula>
    </tableColumn>
    <tableColumn id="2" xr3:uid="{00000000-0010-0000-0400-000002000000}" name="1" totalsRowFunction="count" dataDxfId="719" totalsRowDxfId="163"/>
    <tableColumn id="3" xr3:uid="{00000000-0010-0000-0400-000003000000}" name="2" totalsRowFunction="count" dataDxfId="718" totalsRowDxfId="162"/>
    <tableColumn id="4" xr3:uid="{00000000-0010-0000-0400-000004000000}" name="3" totalsRowFunction="count" dataDxfId="717" totalsRowDxfId="161"/>
    <tableColumn id="5" xr3:uid="{00000000-0010-0000-0400-000005000000}" name="4" totalsRowFunction="count" dataDxfId="716" totalsRowDxfId="160"/>
    <tableColumn id="6" xr3:uid="{00000000-0010-0000-0400-000006000000}" name="5" totalsRowFunction="count" dataDxfId="715" totalsRowDxfId="159"/>
    <tableColumn id="7" xr3:uid="{00000000-0010-0000-0400-000007000000}" name="6" totalsRowFunction="count" dataDxfId="714" totalsRowDxfId="158"/>
    <tableColumn id="8" xr3:uid="{00000000-0010-0000-0400-000008000000}" name="7" totalsRowFunction="count" dataDxfId="713" totalsRowDxfId="157"/>
    <tableColumn id="9" xr3:uid="{00000000-0010-0000-0400-000009000000}" name="8" totalsRowFunction="count" dataDxfId="712" totalsRowDxfId="156"/>
    <tableColumn id="10" xr3:uid="{00000000-0010-0000-0400-00000A000000}" name="9" totalsRowFunction="count" dataDxfId="711" totalsRowDxfId="155"/>
    <tableColumn id="11" xr3:uid="{00000000-0010-0000-0400-00000B000000}" name="10" totalsRowFunction="count" dataDxfId="710" totalsRowDxfId="154"/>
    <tableColumn id="12" xr3:uid="{00000000-0010-0000-0400-00000C000000}" name="11" totalsRowFunction="count" dataDxfId="709" totalsRowDxfId="153"/>
    <tableColumn id="13" xr3:uid="{00000000-0010-0000-0400-00000D000000}" name="12" totalsRowFunction="count" dataDxfId="708" totalsRowDxfId="152"/>
    <tableColumn id="14" xr3:uid="{00000000-0010-0000-0400-00000E000000}" name="13" totalsRowFunction="count" dataDxfId="707" totalsRowDxfId="151"/>
    <tableColumn id="15" xr3:uid="{00000000-0010-0000-0400-00000F000000}" name="14" totalsRowFunction="count" dataDxfId="706" totalsRowDxfId="150"/>
    <tableColumn id="16" xr3:uid="{00000000-0010-0000-0400-000010000000}" name="15" totalsRowFunction="count" dataDxfId="705" totalsRowDxfId="149"/>
    <tableColumn id="17" xr3:uid="{00000000-0010-0000-0400-000011000000}" name="16" totalsRowFunction="count" dataDxfId="704" totalsRowDxfId="148"/>
    <tableColumn id="18" xr3:uid="{00000000-0010-0000-0400-000012000000}" name="17" totalsRowFunction="count" dataDxfId="703" totalsRowDxfId="147"/>
    <tableColumn id="19" xr3:uid="{00000000-0010-0000-0400-000013000000}" name="18" totalsRowFunction="count" dataDxfId="702" totalsRowDxfId="146"/>
    <tableColumn id="20" xr3:uid="{00000000-0010-0000-0400-000014000000}" name="19" totalsRowFunction="count" dataDxfId="701" totalsRowDxfId="145"/>
    <tableColumn id="21" xr3:uid="{00000000-0010-0000-0400-000015000000}" name="20" totalsRowFunction="count" dataDxfId="700" totalsRowDxfId="144"/>
    <tableColumn id="22" xr3:uid="{00000000-0010-0000-0400-000016000000}" name="21" totalsRowFunction="count" dataDxfId="699" totalsRowDxfId="143"/>
    <tableColumn id="23" xr3:uid="{00000000-0010-0000-0400-000017000000}" name="22" totalsRowFunction="count" dataDxfId="698" totalsRowDxfId="142"/>
    <tableColumn id="24" xr3:uid="{00000000-0010-0000-0400-000018000000}" name="23" totalsRowFunction="count" dataDxfId="697" totalsRowDxfId="141"/>
    <tableColumn id="25" xr3:uid="{00000000-0010-0000-0400-000019000000}" name="24" totalsRowFunction="count" dataDxfId="696" totalsRowDxfId="140"/>
    <tableColumn id="26" xr3:uid="{00000000-0010-0000-0400-00001A000000}" name="25" totalsRowFunction="count" dataDxfId="695" totalsRowDxfId="139"/>
    <tableColumn id="27" xr3:uid="{00000000-0010-0000-0400-00001B000000}" name="26" totalsRowFunction="count" dataDxfId="694" totalsRowDxfId="138"/>
    <tableColumn id="28" xr3:uid="{00000000-0010-0000-0400-00001C000000}" name="27" totalsRowFunction="count" dataDxfId="693" totalsRowDxfId="137"/>
    <tableColumn id="29" xr3:uid="{00000000-0010-0000-0400-00001D000000}" name="28" totalsRowFunction="count" dataDxfId="692" totalsRowDxfId="136"/>
    <tableColumn id="30" xr3:uid="{00000000-0010-0000-0400-00001E000000}" name="29" totalsRowFunction="count" dataDxfId="691" totalsRowDxfId="135"/>
    <tableColumn id="31" xr3:uid="{00000000-0010-0000-0400-00001F000000}" name="30" totalsRowFunction="count" dataDxfId="690" totalsRowDxfId="134"/>
    <tableColumn id="32" xr3:uid="{00000000-0010-0000-0400-000020000000}" name="31" totalsRowFunction="count" dataDxfId="689" totalsRowDxfId="133"/>
    <tableColumn id="33" xr3:uid="{00000000-0010-0000-0400-000021000000}" name="إجمالي الأيام" totalsRowFunction="sum" dataDxfId="688" totalsRowDxfId="132">
      <calculatedColumnFormula>COUNTA(مايو[[#This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يونيو" displayName="يونيو" ref="B6:AH12" totalsRowCount="1" headerRowDxfId="682" dataDxfId="681" totalsRowDxfId="680">
  <tableColumns count="33">
    <tableColumn id="1" xr3:uid="{00000000-0010-0000-0500-000001000000}" name="اسم الموظف" totalsRowFunction="custom" dataDxfId="679" totalsRowDxfId="197" dataCellStyle="الموظف">
      <totalsRowFormula>"إجمالي شهر "&amp;MonthName</totalsRowFormula>
    </tableColumn>
    <tableColumn id="2" xr3:uid="{00000000-0010-0000-0500-000002000000}" name="1" totalsRowFunction="count" dataDxfId="678" totalsRowDxfId="196"/>
    <tableColumn id="3" xr3:uid="{00000000-0010-0000-0500-000003000000}" name="2" totalsRowFunction="count" dataDxfId="677" totalsRowDxfId="195"/>
    <tableColumn id="4" xr3:uid="{00000000-0010-0000-0500-000004000000}" name="3" totalsRowFunction="count" dataDxfId="676" totalsRowDxfId="194"/>
    <tableColumn id="5" xr3:uid="{00000000-0010-0000-0500-000005000000}" name="4" totalsRowFunction="count" dataDxfId="675" totalsRowDxfId="193"/>
    <tableColumn id="6" xr3:uid="{00000000-0010-0000-0500-000006000000}" name="5" totalsRowFunction="count" dataDxfId="674" totalsRowDxfId="192"/>
    <tableColumn id="7" xr3:uid="{00000000-0010-0000-0500-000007000000}" name="6" totalsRowFunction="count" dataDxfId="673" totalsRowDxfId="191"/>
    <tableColumn id="8" xr3:uid="{00000000-0010-0000-0500-000008000000}" name="7" totalsRowFunction="count" dataDxfId="672" totalsRowDxfId="190"/>
    <tableColumn id="9" xr3:uid="{00000000-0010-0000-0500-000009000000}" name="8" totalsRowFunction="count" dataDxfId="671" totalsRowDxfId="189"/>
    <tableColumn id="10" xr3:uid="{00000000-0010-0000-0500-00000A000000}" name="9" totalsRowFunction="count" dataDxfId="670" totalsRowDxfId="188"/>
    <tableColumn id="11" xr3:uid="{00000000-0010-0000-0500-00000B000000}" name="10" totalsRowFunction="count" dataDxfId="669" totalsRowDxfId="187"/>
    <tableColumn id="12" xr3:uid="{00000000-0010-0000-0500-00000C000000}" name="11" totalsRowFunction="count" dataDxfId="668" totalsRowDxfId="186"/>
    <tableColumn id="13" xr3:uid="{00000000-0010-0000-0500-00000D000000}" name="12" totalsRowFunction="count" dataDxfId="667" totalsRowDxfId="185"/>
    <tableColumn id="14" xr3:uid="{00000000-0010-0000-0500-00000E000000}" name="13" totalsRowFunction="count" dataDxfId="666" totalsRowDxfId="184"/>
    <tableColumn id="15" xr3:uid="{00000000-0010-0000-0500-00000F000000}" name="14" totalsRowFunction="count" dataDxfId="665" totalsRowDxfId="183"/>
    <tableColumn id="16" xr3:uid="{00000000-0010-0000-0500-000010000000}" name="15" totalsRowFunction="count" dataDxfId="664" totalsRowDxfId="182"/>
    <tableColumn id="17" xr3:uid="{00000000-0010-0000-0500-000011000000}" name="16" totalsRowFunction="count" dataDxfId="663" totalsRowDxfId="181"/>
    <tableColumn id="18" xr3:uid="{00000000-0010-0000-0500-000012000000}" name="17" totalsRowFunction="count" dataDxfId="662" totalsRowDxfId="180"/>
    <tableColumn id="19" xr3:uid="{00000000-0010-0000-0500-000013000000}" name="18" totalsRowFunction="count" dataDxfId="661" totalsRowDxfId="179"/>
    <tableColumn id="20" xr3:uid="{00000000-0010-0000-0500-000014000000}" name="19" totalsRowFunction="count" dataDxfId="660" totalsRowDxfId="178"/>
    <tableColumn id="21" xr3:uid="{00000000-0010-0000-0500-000015000000}" name="20" totalsRowFunction="count" dataDxfId="659" totalsRowDxfId="177"/>
    <tableColumn id="22" xr3:uid="{00000000-0010-0000-0500-000016000000}" name="21" totalsRowFunction="count" dataDxfId="658" totalsRowDxfId="176"/>
    <tableColumn id="23" xr3:uid="{00000000-0010-0000-0500-000017000000}" name="22" totalsRowFunction="count" dataDxfId="657" totalsRowDxfId="175"/>
    <tableColumn id="24" xr3:uid="{00000000-0010-0000-0500-000018000000}" name="23" totalsRowFunction="count" dataDxfId="656" totalsRowDxfId="174"/>
    <tableColumn id="25" xr3:uid="{00000000-0010-0000-0500-000019000000}" name="24" totalsRowFunction="count" dataDxfId="655" totalsRowDxfId="173"/>
    <tableColumn id="26" xr3:uid="{00000000-0010-0000-0500-00001A000000}" name="25" totalsRowFunction="count" dataDxfId="654" totalsRowDxfId="172"/>
    <tableColumn id="27" xr3:uid="{00000000-0010-0000-0500-00001B000000}" name="26" totalsRowFunction="count" dataDxfId="653" totalsRowDxfId="171"/>
    <tableColumn id="28" xr3:uid="{00000000-0010-0000-0500-00001C000000}" name="27" totalsRowFunction="count" dataDxfId="652" totalsRowDxfId="170"/>
    <tableColumn id="29" xr3:uid="{00000000-0010-0000-0500-00001D000000}" name="28" totalsRowFunction="count" dataDxfId="651" totalsRowDxfId="169"/>
    <tableColumn id="30" xr3:uid="{00000000-0010-0000-0500-00001E000000}" name="29" totalsRowFunction="count" dataDxfId="650" totalsRowDxfId="168"/>
    <tableColumn id="31" xr3:uid="{00000000-0010-0000-0500-00001F000000}" name="30" totalsRowFunction="count" dataDxfId="649" totalsRowDxfId="167"/>
    <tableColumn id="32" xr3:uid="{00000000-0010-0000-0500-000020000000}" name=" " totalsRowFunction="count" dataDxfId="648" totalsRowDxfId="166"/>
    <tableColumn id="33" xr3:uid="{00000000-0010-0000-0500-000021000000}" name="إجمالي الأيام" totalsRowFunction="sum" dataDxfId="647" totalsRowDxfId="165">
      <calculatedColumnFormula>COUNTA(يونيو[[#This Row],[1]:[30]])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يوليو" displayName="يوليو" ref="B6:AH12" totalsRowCount="1" headerRowDxfId="641" dataDxfId="640" totalsRowDxfId="639">
  <tableColumns count="33">
    <tableColumn id="1" xr3:uid="{00000000-0010-0000-0600-000001000000}" name="اسم الموظف" totalsRowFunction="custom" dataDxfId="638" totalsRowDxfId="230" dataCellStyle="الموظف">
      <totalsRowFormula>"إجمالي شهر "&amp;MonthName</totalsRowFormula>
    </tableColumn>
    <tableColumn id="2" xr3:uid="{00000000-0010-0000-0600-000002000000}" name="1" totalsRowFunction="count" dataDxfId="637" totalsRowDxfId="229"/>
    <tableColumn id="3" xr3:uid="{00000000-0010-0000-0600-000003000000}" name="2" totalsRowFunction="count" dataDxfId="636" totalsRowDxfId="228"/>
    <tableColumn id="4" xr3:uid="{00000000-0010-0000-0600-000004000000}" name="3" totalsRowFunction="count" dataDxfId="635" totalsRowDxfId="227"/>
    <tableColumn id="5" xr3:uid="{00000000-0010-0000-0600-000005000000}" name="4" totalsRowFunction="count" dataDxfId="634" totalsRowDxfId="226"/>
    <tableColumn id="6" xr3:uid="{00000000-0010-0000-0600-000006000000}" name="5" totalsRowFunction="count" dataDxfId="633" totalsRowDxfId="225"/>
    <tableColumn id="7" xr3:uid="{00000000-0010-0000-0600-000007000000}" name="6" totalsRowFunction="count" dataDxfId="632" totalsRowDxfId="224"/>
    <tableColumn id="8" xr3:uid="{00000000-0010-0000-0600-000008000000}" name="7" totalsRowFunction="count" dataDxfId="631" totalsRowDxfId="223"/>
    <tableColumn id="9" xr3:uid="{00000000-0010-0000-0600-000009000000}" name="8" totalsRowFunction="count" dataDxfId="630" totalsRowDxfId="222"/>
    <tableColumn id="10" xr3:uid="{00000000-0010-0000-0600-00000A000000}" name="9" totalsRowFunction="count" dataDxfId="629" totalsRowDxfId="221"/>
    <tableColumn id="11" xr3:uid="{00000000-0010-0000-0600-00000B000000}" name="10" totalsRowFunction="count" dataDxfId="628" totalsRowDxfId="220"/>
    <tableColumn id="12" xr3:uid="{00000000-0010-0000-0600-00000C000000}" name="11" totalsRowFunction="count" dataDxfId="627" totalsRowDxfId="219"/>
    <tableColumn id="13" xr3:uid="{00000000-0010-0000-0600-00000D000000}" name="12" totalsRowFunction="count" dataDxfId="626" totalsRowDxfId="218"/>
    <tableColumn id="14" xr3:uid="{00000000-0010-0000-0600-00000E000000}" name="13" totalsRowFunction="count" dataDxfId="625" totalsRowDxfId="217"/>
    <tableColumn id="15" xr3:uid="{00000000-0010-0000-0600-00000F000000}" name="14" totalsRowFunction="count" dataDxfId="624" totalsRowDxfId="216"/>
    <tableColumn id="16" xr3:uid="{00000000-0010-0000-0600-000010000000}" name="15" totalsRowFunction="count" dataDxfId="623" totalsRowDxfId="215"/>
    <tableColumn id="17" xr3:uid="{00000000-0010-0000-0600-000011000000}" name="16" totalsRowFunction="count" dataDxfId="622" totalsRowDxfId="214"/>
    <tableColumn id="18" xr3:uid="{00000000-0010-0000-0600-000012000000}" name="17" totalsRowFunction="count" dataDxfId="621" totalsRowDxfId="213"/>
    <tableColumn id="19" xr3:uid="{00000000-0010-0000-0600-000013000000}" name="18" totalsRowFunction="count" dataDxfId="620" totalsRowDxfId="212"/>
    <tableColumn id="20" xr3:uid="{00000000-0010-0000-0600-000014000000}" name="19" totalsRowFunction="count" dataDxfId="619" totalsRowDxfId="211"/>
    <tableColumn id="21" xr3:uid="{00000000-0010-0000-0600-000015000000}" name="20" totalsRowFunction="count" dataDxfId="618" totalsRowDxfId="210"/>
    <tableColumn id="22" xr3:uid="{00000000-0010-0000-0600-000016000000}" name="21" totalsRowFunction="count" dataDxfId="617" totalsRowDxfId="209"/>
    <tableColumn id="23" xr3:uid="{00000000-0010-0000-0600-000017000000}" name="22" totalsRowFunction="count" dataDxfId="616" totalsRowDxfId="208"/>
    <tableColumn id="24" xr3:uid="{00000000-0010-0000-0600-000018000000}" name="23" totalsRowFunction="count" dataDxfId="615" totalsRowDxfId="207"/>
    <tableColumn id="25" xr3:uid="{00000000-0010-0000-0600-000019000000}" name="24" totalsRowFunction="count" dataDxfId="614" totalsRowDxfId="206"/>
    <tableColumn id="26" xr3:uid="{00000000-0010-0000-0600-00001A000000}" name="25" totalsRowFunction="count" dataDxfId="613" totalsRowDxfId="205"/>
    <tableColumn id="27" xr3:uid="{00000000-0010-0000-0600-00001B000000}" name="26" totalsRowFunction="count" dataDxfId="612" totalsRowDxfId="204"/>
    <tableColumn id="28" xr3:uid="{00000000-0010-0000-0600-00001C000000}" name="27" totalsRowFunction="count" dataDxfId="611" totalsRowDxfId="203"/>
    <tableColumn id="29" xr3:uid="{00000000-0010-0000-0600-00001D000000}" name="28" totalsRowFunction="count" dataDxfId="610" totalsRowDxfId="202"/>
    <tableColumn id="30" xr3:uid="{00000000-0010-0000-0600-00001E000000}" name="29" totalsRowFunction="count" dataDxfId="609" totalsRowDxfId="201"/>
    <tableColumn id="31" xr3:uid="{00000000-0010-0000-0600-00001F000000}" name="30" totalsRowFunction="count" dataDxfId="608" totalsRowDxfId="200"/>
    <tableColumn id="32" xr3:uid="{00000000-0010-0000-0600-000020000000}" name="31" totalsRowFunction="count" dataDxfId="607" totalsRowDxfId="199"/>
    <tableColumn id="33" xr3:uid="{00000000-0010-0000-0600-000021000000}" name="إجمالي الأيام" totalsRowFunction="sum" dataDxfId="606" totalsRowDxfId="198">
      <calculatedColumnFormula>COUNTA(يوليو[[#This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أغسطس" displayName="أغسطس" ref="B6:AH12" totalsRowCount="1" headerRowDxfId="600" dataDxfId="599" totalsRowDxfId="598">
  <tableColumns count="33">
    <tableColumn id="1" xr3:uid="{00000000-0010-0000-0700-000001000000}" name="اسم الموظف" totalsRowFunction="custom" dataDxfId="597" totalsRowDxfId="263" dataCellStyle="الموظف">
      <totalsRowFormula>"إجمالي شهر "&amp;MonthName</totalsRowFormula>
    </tableColumn>
    <tableColumn id="2" xr3:uid="{00000000-0010-0000-0700-000002000000}" name="1" totalsRowFunction="count" dataDxfId="596" totalsRowDxfId="262"/>
    <tableColumn id="3" xr3:uid="{00000000-0010-0000-0700-000003000000}" name="2" totalsRowFunction="count" dataDxfId="595" totalsRowDxfId="261"/>
    <tableColumn id="4" xr3:uid="{00000000-0010-0000-0700-000004000000}" name="3" totalsRowFunction="count" dataDxfId="594" totalsRowDxfId="260"/>
    <tableColumn id="5" xr3:uid="{00000000-0010-0000-0700-000005000000}" name="4" totalsRowFunction="count" dataDxfId="593" totalsRowDxfId="259"/>
    <tableColumn id="6" xr3:uid="{00000000-0010-0000-0700-000006000000}" name="5" totalsRowFunction="count" dataDxfId="592" totalsRowDxfId="258"/>
    <tableColumn id="7" xr3:uid="{00000000-0010-0000-0700-000007000000}" name="6" totalsRowFunction="count" dataDxfId="591" totalsRowDxfId="257"/>
    <tableColumn id="8" xr3:uid="{00000000-0010-0000-0700-000008000000}" name="7" totalsRowFunction="count" dataDxfId="590" totalsRowDxfId="256"/>
    <tableColumn id="9" xr3:uid="{00000000-0010-0000-0700-000009000000}" name="8" totalsRowFunction="count" dataDxfId="589" totalsRowDxfId="255"/>
    <tableColumn id="10" xr3:uid="{00000000-0010-0000-0700-00000A000000}" name="9" totalsRowFunction="count" dataDxfId="588" totalsRowDxfId="254"/>
    <tableColumn id="11" xr3:uid="{00000000-0010-0000-0700-00000B000000}" name="10" totalsRowFunction="count" dataDxfId="587" totalsRowDxfId="253"/>
    <tableColumn id="12" xr3:uid="{00000000-0010-0000-0700-00000C000000}" name="11" totalsRowFunction="count" dataDxfId="586" totalsRowDxfId="252"/>
    <tableColumn id="13" xr3:uid="{00000000-0010-0000-0700-00000D000000}" name="12" totalsRowFunction="count" dataDxfId="585" totalsRowDxfId="251"/>
    <tableColumn id="14" xr3:uid="{00000000-0010-0000-0700-00000E000000}" name="13" totalsRowFunction="count" dataDxfId="584" totalsRowDxfId="250"/>
    <tableColumn id="15" xr3:uid="{00000000-0010-0000-0700-00000F000000}" name="14" totalsRowFunction="count" dataDxfId="583" totalsRowDxfId="249"/>
    <tableColumn id="16" xr3:uid="{00000000-0010-0000-0700-000010000000}" name="15" totalsRowFunction="count" dataDxfId="582" totalsRowDxfId="248"/>
    <tableColumn id="17" xr3:uid="{00000000-0010-0000-0700-000011000000}" name="16" totalsRowFunction="count" dataDxfId="581" totalsRowDxfId="247"/>
    <tableColumn id="18" xr3:uid="{00000000-0010-0000-0700-000012000000}" name="17" totalsRowFunction="count" dataDxfId="580" totalsRowDxfId="246"/>
    <tableColumn id="19" xr3:uid="{00000000-0010-0000-0700-000013000000}" name="18" totalsRowFunction="count" dataDxfId="579" totalsRowDxfId="245"/>
    <tableColumn id="20" xr3:uid="{00000000-0010-0000-0700-000014000000}" name="19" totalsRowFunction="count" dataDxfId="578" totalsRowDxfId="244"/>
    <tableColumn id="21" xr3:uid="{00000000-0010-0000-0700-000015000000}" name="20" totalsRowFunction="count" dataDxfId="577" totalsRowDxfId="243"/>
    <tableColumn id="22" xr3:uid="{00000000-0010-0000-0700-000016000000}" name="21" totalsRowFunction="count" dataDxfId="576" totalsRowDxfId="242"/>
    <tableColumn id="23" xr3:uid="{00000000-0010-0000-0700-000017000000}" name="22" totalsRowFunction="count" dataDxfId="575" totalsRowDxfId="241"/>
    <tableColumn id="24" xr3:uid="{00000000-0010-0000-0700-000018000000}" name="23" totalsRowFunction="count" dataDxfId="574" totalsRowDxfId="240"/>
    <tableColumn id="25" xr3:uid="{00000000-0010-0000-0700-000019000000}" name="24" totalsRowFunction="count" dataDxfId="573" totalsRowDxfId="239"/>
    <tableColumn id="26" xr3:uid="{00000000-0010-0000-0700-00001A000000}" name="25" totalsRowFunction="count" dataDxfId="572" totalsRowDxfId="238"/>
    <tableColumn id="27" xr3:uid="{00000000-0010-0000-0700-00001B000000}" name="26" totalsRowFunction="count" dataDxfId="571" totalsRowDxfId="237"/>
    <tableColumn id="28" xr3:uid="{00000000-0010-0000-0700-00001C000000}" name="27" totalsRowFunction="count" dataDxfId="570" totalsRowDxfId="236"/>
    <tableColumn id="29" xr3:uid="{00000000-0010-0000-0700-00001D000000}" name="28" totalsRowFunction="count" dataDxfId="569" totalsRowDxfId="235"/>
    <tableColumn id="30" xr3:uid="{00000000-0010-0000-0700-00001E000000}" name="29" totalsRowFunction="count" dataDxfId="568" totalsRowDxfId="234"/>
    <tableColumn id="31" xr3:uid="{00000000-0010-0000-0700-00001F000000}" name="30" totalsRowFunction="count" dataDxfId="567" totalsRowDxfId="233"/>
    <tableColumn id="32" xr3:uid="{00000000-0010-0000-0700-000020000000}" name="31" totalsRowFunction="count" dataDxfId="566" totalsRowDxfId="232"/>
    <tableColumn id="33" xr3:uid="{00000000-0010-0000-0700-000021000000}" name="إجمالي الأيام" totalsRowFunction="sum" dataDxfId="565" totalsRowDxfId="231">
      <calculatedColumnFormula>COUNTA(أغسطس[[#This Row],[1]:[31]])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سبتمبر" displayName="سبتمبر" ref="B6:AH12" totalsRowCount="1" headerRowDxfId="559" dataDxfId="558" totalsRowDxfId="557">
  <tableColumns count="33">
    <tableColumn id="1" xr3:uid="{00000000-0010-0000-0800-000001000000}" name="اسم الموظف" totalsRowFunction="custom" dataDxfId="556" totalsRowDxfId="296" dataCellStyle="الموظف">
      <totalsRowFormula>"إجمالي شهر "&amp;MonthName</totalsRowFormula>
    </tableColumn>
    <tableColumn id="2" xr3:uid="{00000000-0010-0000-0800-000002000000}" name="1" totalsRowFunction="count" dataDxfId="555" totalsRowDxfId="295"/>
    <tableColumn id="3" xr3:uid="{00000000-0010-0000-0800-000003000000}" name="2" totalsRowFunction="count" dataDxfId="554" totalsRowDxfId="294"/>
    <tableColumn id="4" xr3:uid="{00000000-0010-0000-0800-000004000000}" name="3" totalsRowFunction="count" dataDxfId="553" totalsRowDxfId="293"/>
    <tableColumn id="5" xr3:uid="{00000000-0010-0000-0800-000005000000}" name="4" totalsRowFunction="count" dataDxfId="552" totalsRowDxfId="292"/>
    <tableColumn id="6" xr3:uid="{00000000-0010-0000-0800-000006000000}" name="5" totalsRowFunction="count" dataDxfId="551" totalsRowDxfId="291"/>
    <tableColumn id="7" xr3:uid="{00000000-0010-0000-0800-000007000000}" name="6" totalsRowFunction="count" dataDxfId="550" totalsRowDxfId="290"/>
    <tableColumn id="8" xr3:uid="{00000000-0010-0000-0800-000008000000}" name="7" totalsRowFunction="count" dataDxfId="549" totalsRowDxfId="289"/>
    <tableColumn id="9" xr3:uid="{00000000-0010-0000-0800-000009000000}" name="8" totalsRowFunction="count" dataDxfId="548" totalsRowDxfId="288"/>
    <tableColumn id="10" xr3:uid="{00000000-0010-0000-0800-00000A000000}" name="9" totalsRowFunction="count" dataDxfId="547" totalsRowDxfId="287"/>
    <tableColumn id="11" xr3:uid="{00000000-0010-0000-0800-00000B000000}" name="10" totalsRowFunction="count" dataDxfId="546" totalsRowDxfId="286"/>
    <tableColumn id="12" xr3:uid="{00000000-0010-0000-0800-00000C000000}" name="11" totalsRowFunction="count" dataDxfId="545" totalsRowDxfId="285"/>
    <tableColumn id="13" xr3:uid="{00000000-0010-0000-0800-00000D000000}" name="12" totalsRowFunction="count" dataDxfId="544" totalsRowDxfId="284"/>
    <tableColumn id="14" xr3:uid="{00000000-0010-0000-0800-00000E000000}" name="13" totalsRowFunction="count" dataDxfId="543" totalsRowDxfId="283"/>
    <tableColumn id="15" xr3:uid="{00000000-0010-0000-0800-00000F000000}" name="14" totalsRowFunction="count" dataDxfId="542" totalsRowDxfId="282"/>
    <tableColumn id="16" xr3:uid="{00000000-0010-0000-0800-000010000000}" name="15" totalsRowFunction="count" dataDxfId="541" totalsRowDxfId="281"/>
    <tableColumn id="17" xr3:uid="{00000000-0010-0000-0800-000011000000}" name="16" totalsRowFunction="count" dataDxfId="540" totalsRowDxfId="280"/>
    <tableColumn id="18" xr3:uid="{00000000-0010-0000-0800-000012000000}" name="17" totalsRowFunction="count" dataDxfId="539" totalsRowDxfId="279"/>
    <tableColumn id="19" xr3:uid="{00000000-0010-0000-0800-000013000000}" name="18" totalsRowFunction="count" dataDxfId="538" totalsRowDxfId="278"/>
    <tableColumn id="20" xr3:uid="{00000000-0010-0000-0800-000014000000}" name="19" totalsRowFunction="count" dataDxfId="537" totalsRowDxfId="277"/>
    <tableColumn id="21" xr3:uid="{00000000-0010-0000-0800-000015000000}" name="20" totalsRowFunction="count" dataDxfId="536" totalsRowDxfId="276"/>
    <tableColumn id="22" xr3:uid="{00000000-0010-0000-0800-000016000000}" name="21" totalsRowFunction="count" dataDxfId="535" totalsRowDxfId="275"/>
    <tableColumn id="23" xr3:uid="{00000000-0010-0000-0800-000017000000}" name="22" totalsRowFunction="count" dataDxfId="534" totalsRowDxfId="274"/>
    <tableColumn id="24" xr3:uid="{00000000-0010-0000-0800-000018000000}" name="23" totalsRowFunction="count" dataDxfId="533" totalsRowDxfId="273"/>
    <tableColumn id="25" xr3:uid="{00000000-0010-0000-0800-000019000000}" name="24" totalsRowFunction="count" dataDxfId="532" totalsRowDxfId="272"/>
    <tableColumn id="26" xr3:uid="{00000000-0010-0000-0800-00001A000000}" name="25" totalsRowFunction="count" dataDxfId="531" totalsRowDxfId="271"/>
    <tableColumn id="27" xr3:uid="{00000000-0010-0000-0800-00001B000000}" name="26" totalsRowFunction="count" dataDxfId="530" totalsRowDxfId="270"/>
    <tableColumn id="28" xr3:uid="{00000000-0010-0000-0800-00001C000000}" name="27" totalsRowFunction="count" dataDxfId="529" totalsRowDxfId="269"/>
    <tableColumn id="29" xr3:uid="{00000000-0010-0000-0800-00001D000000}" name="28" totalsRowFunction="count" dataDxfId="528" totalsRowDxfId="268"/>
    <tableColumn id="30" xr3:uid="{00000000-0010-0000-0800-00001E000000}" name="29" totalsRowFunction="count" dataDxfId="527" totalsRowDxfId="267"/>
    <tableColumn id="31" xr3:uid="{00000000-0010-0000-0800-00001F000000}" name="30" totalsRowFunction="count" dataDxfId="526" totalsRowDxfId="266"/>
    <tableColumn id="32" xr3:uid="{00000000-0010-0000-0800-000020000000}" name=" " totalsRowFunction="count" dataDxfId="525" totalsRowDxfId="265"/>
    <tableColumn id="33" xr3:uid="{00000000-0010-0000-0800-000021000000}" name="إجمالي الأيام" totalsRowFunction="sum" dataDxfId="524" totalsRowDxfId="264">
      <calculatedColumnFormula>COUNTA(سبتمبر[[#This Row],[1]:[30]])</calculatedColumnFormula>
    </tableColumn>
  </tableColumns>
  <tableStyleInfo name="جدول غياب الموظفين" showFirstColumn="1" showLastColumn="1" showRowStripes="1" showColumnStripes="0"/>
  <extLst>
    <ext xmlns:x14="http://schemas.microsoft.com/office/spreadsheetml/2009/9/main" uri="{504A1905-F514-4f6f-8877-14C23A59335A}">
      <x14:table altTextSummary="أدخل أسماء الموظفين وتواريخ الغياب. سجّل نوع الغياب حسب المفتاح في الصف 12: ع = عطلة، م = مرضي، ش = لأسباب شخصية والعنصران النائبان هما لإدخالات مخصصة.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rightToLeft="1" tabSelected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4" s="25" customFormat="1" ht="50.1" customHeight="1" x14ac:dyDescent="0.2">
      <c r="A1" s="1"/>
      <c r="B1" s="2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 x14ac:dyDescent="0.2">
      <c r="AH3" s="7" t="s">
        <v>49</v>
      </c>
    </row>
    <row r="4" spans="1:34" s="25" customFormat="1" ht="30" customHeight="1" x14ac:dyDescent="0.2">
      <c r="A4" s="3"/>
      <c r="B4" s="19" t="s">
        <v>2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v>2019</v>
      </c>
    </row>
    <row r="5" spans="1:34" s="25" customFormat="1" ht="15" customHeight="1" x14ac:dyDescent="0.2">
      <c r="A5" s="3"/>
      <c r="B5" s="19"/>
      <c r="C5" s="8" t="str">
        <f>TEXT(WEEKDAY(DATE(CalendarYear,1,1),1),"aaa")</f>
        <v>الثلاثاء</v>
      </c>
      <c r="D5" s="8" t="str">
        <f>TEXT(WEEKDAY(DATE(CalendarYear,1,2),1),"aaa")</f>
        <v>الأربعاء</v>
      </c>
      <c r="E5" s="8" t="str">
        <f>TEXT(WEEKDAY(DATE(CalendarYear,1,3),1),"aaa")</f>
        <v>الخميس</v>
      </c>
      <c r="F5" s="8" t="str">
        <f>TEXT(WEEKDAY(DATE(CalendarYear,1,4),1),"aaa")</f>
        <v>الجمعة</v>
      </c>
      <c r="G5" s="8" t="str">
        <f>TEXT(WEEKDAY(DATE(CalendarYear,1,5),1),"aaa")</f>
        <v>السبت</v>
      </c>
      <c r="H5" s="8" t="str">
        <f>TEXT(WEEKDAY(DATE(CalendarYear,1,6),1),"aaa")</f>
        <v>الأحد</v>
      </c>
      <c r="I5" s="8" t="str">
        <f>TEXT(WEEKDAY(DATE(CalendarYear,1,7),1),"aaa")</f>
        <v>الإثنين</v>
      </c>
      <c r="J5" s="8" t="str">
        <f>TEXT(WEEKDAY(DATE(CalendarYear,1,8),1),"aaa")</f>
        <v>الثلاثاء</v>
      </c>
      <c r="K5" s="8" t="str">
        <f>TEXT(WEEKDAY(DATE(CalendarYear,1,9),1),"aaa")</f>
        <v>الأربعاء</v>
      </c>
      <c r="L5" s="8" t="str">
        <f>TEXT(WEEKDAY(DATE(CalendarYear,1,10),1),"aaa")</f>
        <v>الخميس</v>
      </c>
      <c r="M5" s="8" t="str">
        <f>TEXT(WEEKDAY(DATE(CalendarYear,1,11),1),"aaa")</f>
        <v>الجمعة</v>
      </c>
      <c r="N5" s="8" t="str">
        <f>TEXT(WEEKDAY(DATE(CalendarYear,1,12),1),"aaa")</f>
        <v>السبت</v>
      </c>
      <c r="O5" s="8" t="str">
        <f>TEXT(WEEKDAY(DATE(CalendarYear,1,13),1),"aaa")</f>
        <v>الأحد</v>
      </c>
      <c r="P5" s="8" t="str">
        <f>TEXT(WEEKDAY(DATE(CalendarYear,1,14),1),"aaa")</f>
        <v>الإثنين</v>
      </c>
      <c r="Q5" s="8" t="str">
        <f>TEXT(WEEKDAY(DATE(CalendarYear,1,15),1),"aaa")</f>
        <v>الثلاثاء</v>
      </c>
      <c r="R5" s="8" t="str">
        <f>TEXT(WEEKDAY(DATE(CalendarYear,1,16),1),"aaa")</f>
        <v>الأربعاء</v>
      </c>
      <c r="S5" s="8" t="str">
        <f>TEXT(WEEKDAY(DATE(CalendarYear,1,17),1),"aaa")</f>
        <v>الخميس</v>
      </c>
      <c r="T5" s="8" t="str">
        <f>TEXT(WEEKDAY(DATE(CalendarYear,1,18),1),"aaa")</f>
        <v>الجمعة</v>
      </c>
      <c r="U5" s="8" t="str">
        <f>TEXT(WEEKDAY(DATE(CalendarYear,1,19),1),"aaa")</f>
        <v>السبت</v>
      </c>
      <c r="V5" s="8" t="str">
        <f>TEXT(WEEKDAY(DATE(CalendarYear,1,20),1),"aaa")</f>
        <v>الأحد</v>
      </c>
      <c r="W5" s="8" t="str">
        <f>TEXT(WEEKDAY(DATE(CalendarYear,1,21),1),"aaa")</f>
        <v>الإثنين</v>
      </c>
      <c r="X5" s="8" t="str">
        <f>TEXT(WEEKDAY(DATE(CalendarYear,1,22),1),"aaa")</f>
        <v>الثلاثاء</v>
      </c>
      <c r="Y5" s="8" t="str">
        <f>TEXT(WEEKDAY(DATE(CalendarYear,1,23),1),"aaa")</f>
        <v>الأربعاء</v>
      </c>
      <c r="Z5" s="8" t="str">
        <f>TEXT(WEEKDAY(DATE(CalendarYear,1,24),1),"aaa")</f>
        <v>الخميس</v>
      </c>
      <c r="AA5" s="8" t="str">
        <f>TEXT(WEEKDAY(DATE(CalendarYear,1,25),1),"aaa")</f>
        <v>الجمعة</v>
      </c>
      <c r="AB5" s="8" t="str">
        <f>TEXT(WEEKDAY(DATE(CalendarYear,1,26),1),"aaa")</f>
        <v>السبت</v>
      </c>
      <c r="AC5" s="8" t="str">
        <f>TEXT(WEEKDAY(DATE(CalendarYear,1,27),1),"aaa")</f>
        <v>الأحد</v>
      </c>
      <c r="AD5" s="8" t="str">
        <f>TEXT(WEEKDAY(DATE(CalendarYear,1,28),1),"aaa")</f>
        <v>الإثنين</v>
      </c>
      <c r="AE5" s="8" t="str">
        <f>TEXT(WEEKDAY(DATE(CalendarYear,1,29),1),"aaa")</f>
        <v>الثلاثاء</v>
      </c>
      <c r="AF5" s="8" t="str">
        <f>TEXT(WEEKDAY(DATE(CalendarYear,1,30),1),"aaa")</f>
        <v>الأربعاء</v>
      </c>
      <c r="AG5" s="8" t="str">
        <f>TEXT(WEEKDAY(DATE(CalendarYear,1,31),1),"aaa")</f>
        <v>الخميس</v>
      </c>
      <c r="AH5" s="19"/>
    </row>
    <row r="6" spans="1:34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</row>
    <row r="7" spans="1:34" s="25" customFormat="1" ht="30" customHeight="1" x14ac:dyDescent="0.2">
      <c r="A7" s="3"/>
      <c r="B7" s="12" t="s">
        <v>4</v>
      </c>
      <c r="C7" s="10"/>
      <c r="D7" s="10"/>
      <c r="E7" s="10" t="s">
        <v>9</v>
      </c>
      <c r="F7" s="10" t="s">
        <v>9</v>
      </c>
      <c r="G7" s="10" t="s">
        <v>9</v>
      </c>
      <c r="H7" s="10" t="s">
        <v>9</v>
      </c>
      <c r="I7" s="10"/>
      <c r="J7" s="10"/>
      <c r="K7" s="10"/>
      <c r="L7" s="10"/>
      <c r="M7" s="10"/>
      <c r="N7" s="10"/>
      <c r="O7" s="10" t="s">
        <v>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COUNTA(يناير!$C7:$AG7)</f>
        <v>5</v>
      </c>
    </row>
    <row r="8" spans="1:34" s="25" customFormat="1" ht="30" customHeight="1" x14ac:dyDescent="0.2">
      <c r="A8" s="3"/>
      <c r="B8" s="12" t="s">
        <v>5</v>
      </c>
      <c r="C8" s="10"/>
      <c r="D8" s="10"/>
      <c r="E8" s="10"/>
      <c r="F8" s="10"/>
      <c r="G8" s="10" t="s">
        <v>17</v>
      </c>
      <c r="H8" s="10" t="s">
        <v>17</v>
      </c>
      <c r="I8" s="10"/>
      <c r="J8" s="10"/>
      <c r="K8" s="10"/>
      <c r="L8" s="10"/>
      <c r="M8" s="10" t="s">
        <v>15</v>
      </c>
      <c r="N8" s="10"/>
      <c r="O8" s="10"/>
      <c r="P8" s="10"/>
      <c r="Q8" s="10"/>
      <c r="R8" s="10"/>
      <c r="S8" s="10"/>
      <c r="T8" s="10"/>
      <c r="U8" s="10"/>
      <c r="V8" s="10" t="s">
        <v>17</v>
      </c>
      <c r="W8" s="10"/>
      <c r="X8" s="10"/>
      <c r="Y8" s="10"/>
      <c r="Z8" s="10"/>
      <c r="AA8" s="10" t="s">
        <v>9</v>
      </c>
      <c r="AB8" s="10" t="s">
        <v>9</v>
      </c>
      <c r="AC8" s="10" t="s">
        <v>9</v>
      </c>
      <c r="AD8" s="10"/>
      <c r="AE8" s="10"/>
      <c r="AF8" s="10"/>
      <c r="AG8" s="10"/>
      <c r="AH8" s="13">
        <f>COUNTA(يناير!$C8:$AG8)</f>
        <v>7</v>
      </c>
    </row>
    <row r="9" spans="1:34" s="25" customFormat="1" ht="30" customHeight="1" x14ac:dyDescent="0.2">
      <c r="A9" s="3"/>
      <c r="B9" s="12" t="s">
        <v>6</v>
      </c>
      <c r="C9" s="10"/>
      <c r="D9" s="10"/>
      <c r="E9" s="10" t="s">
        <v>15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 t="s">
        <v>17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">
        <v>17</v>
      </c>
      <c r="AF9" s="10"/>
      <c r="AG9" s="10"/>
      <c r="AH9" s="13">
        <f>COUNTA(يناير!$C9:$AG9)</f>
        <v>3</v>
      </c>
    </row>
    <row r="10" spans="1:34" s="25" customFormat="1" ht="30" customHeight="1" x14ac:dyDescent="0.2">
      <c r="A10" s="3"/>
      <c r="B10" s="12" t="s">
        <v>7</v>
      </c>
      <c r="C10" s="10"/>
      <c r="D10" s="10"/>
      <c r="E10" s="10"/>
      <c r="F10" s="10"/>
      <c r="G10" s="10"/>
      <c r="H10" s="10"/>
      <c r="I10" s="10" t="s">
        <v>15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 t="s">
        <v>9</v>
      </c>
      <c r="V10" s="10" t="s">
        <v>9</v>
      </c>
      <c r="W10" s="10" t="s">
        <v>9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COUNTA(يناير!$C10:$AG10)</f>
        <v>4</v>
      </c>
    </row>
    <row r="11" spans="1:34" s="25" customFormat="1" ht="30" customHeight="1" x14ac:dyDescent="0.2">
      <c r="A11" s="3"/>
      <c r="B11" s="12" t="s">
        <v>8</v>
      </c>
      <c r="C11" s="10"/>
      <c r="D11" s="10"/>
      <c r="E11" s="10"/>
      <c r="F11" s="10" t="s">
        <v>17</v>
      </c>
      <c r="G11" s="10" t="s">
        <v>9</v>
      </c>
      <c r="H11" s="10" t="s">
        <v>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17</v>
      </c>
      <c r="T11" s="10"/>
      <c r="U11" s="10"/>
      <c r="V11" s="10"/>
      <c r="W11" s="10"/>
      <c r="X11" s="10"/>
      <c r="Y11" s="10"/>
      <c r="Z11" s="10" t="s">
        <v>17</v>
      </c>
      <c r="AA11" s="10"/>
      <c r="AB11" s="10"/>
      <c r="AC11" s="10"/>
      <c r="AD11" s="10"/>
      <c r="AE11" s="10"/>
      <c r="AF11" s="10"/>
      <c r="AG11" s="10" t="s">
        <v>9</v>
      </c>
      <c r="AH11" s="13">
        <f>COUNTA(يناير!$C11:$AG11)</f>
        <v>6</v>
      </c>
    </row>
    <row r="12" spans="1:34" s="25" customFormat="1" ht="30" customHeight="1" x14ac:dyDescent="0.2">
      <c r="A12" s="3"/>
      <c r="B12" s="14" t="str">
        <f>"إجمالي شهر "&amp;MonthName</f>
        <v>إجمالي شهر يناير</v>
      </c>
      <c r="C12" s="15">
        <f>SUBTOTAL(103,يناير!$C$7:$C$11)</f>
        <v>0</v>
      </c>
      <c r="D12" s="15">
        <f>SUBTOTAL(103,يناير!$D$7:$D$11)</f>
        <v>0</v>
      </c>
      <c r="E12" s="15">
        <f>SUBTOTAL(103,يناير!$E$7:$E$11)</f>
        <v>2</v>
      </c>
      <c r="F12" s="15">
        <f>SUBTOTAL(103,يناير!$F$7:$F$11)</f>
        <v>2</v>
      </c>
      <c r="G12" s="15">
        <f>SUBTOTAL(103,يناير!$G$7:$G$11)</f>
        <v>3</v>
      </c>
      <c r="H12" s="15">
        <f>SUBTOTAL(103,يناير!$H$7:$H$11)</f>
        <v>3</v>
      </c>
      <c r="I12" s="15">
        <f>SUBTOTAL(103,يناير!$I$7:$I$11)</f>
        <v>1</v>
      </c>
      <c r="J12" s="15">
        <f>SUBTOTAL(103,يناير!$J$7:$J$11)</f>
        <v>0</v>
      </c>
      <c r="K12" s="15">
        <f>SUBTOTAL(103,يناير!$K$7:$K$11)</f>
        <v>0</v>
      </c>
      <c r="L12" s="15">
        <f>SUBTOTAL(103,يناير!$L$7:$L$11)</f>
        <v>0</v>
      </c>
      <c r="M12" s="15">
        <f>SUBTOTAL(103,يناير!$M$7:$M$11)</f>
        <v>1</v>
      </c>
      <c r="N12" s="15">
        <f>SUBTOTAL(103,يناير!$N$7:$N$11)</f>
        <v>0</v>
      </c>
      <c r="O12" s="15">
        <f>SUBTOTAL(103,يناير!$O$7:$O$11)</f>
        <v>1</v>
      </c>
      <c r="P12" s="15">
        <f>SUBTOTAL(103,يناير!$P$7:$P$11)</f>
        <v>1</v>
      </c>
      <c r="Q12" s="15">
        <f>SUBTOTAL(103,يناير!$Q$7:$Q$11)</f>
        <v>0</v>
      </c>
      <c r="R12" s="15">
        <f>SUBTOTAL(103,يناير!$R$7:$R$11)</f>
        <v>0</v>
      </c>
      <c r="S12" s="15">
        <f>SUBTOTAL(103,يناير!$S$7:$S$11)</f>
        <v>1</v>
      </c>
      <c r="T12" s="15">
        <f>SUBTOTAL(103,يناير!$T$7:$T$11)</f>
        <v>0</v>
      </c>
      <c r="U12" s="15">
        <f>SUBTOTAL(103,يناير!$U$7:$U$11)</f>
        <v>1</v>
      </c>
      <c r="V12" s="15">
        <f>SUBTOTAL(103,يناير!$V$7:$V$11)</f>
        <v>2</v>
      </c>
      <c r="W12" s="15">
        <f>SUBTOTAL(103,يناير!$W$7:$W$11)</f>
        <v>1</v>
      </c>
      <c r="X12" s="15">
        <f>SUBTOTAL(103,يناير!$X$7:$X$11)</f>
        <v>0</v>
      </c>
      <c r="Y12" s="15">
        <f>SUBTOTAL(103,يناير!$Y$7:$Y$11)</f>
        <v>0</v>
      </c>
      <c r="Z12" s="15">
        <f>SUBTOTAL(103,يناير!$Z$7:$Z$11)</f>
        <v>1</v>
      </c>
      <c r="AA12" s="15">
        <f>SUBTOTAL(103,يناير!$AA$7:$AA$11)</f>
        <v>1</v>
      </c>
      <c r="AB12" s="15">
        <f>SUBTOTAL(103,يناير!$AB$7:$AB$11)</f>
        <v>1</v>
      </c>
      <c r="AC12" s="15">
        <f>SUBTOTAL(103,يناير!$AC$7:$AC$11)</f>
        <v>1</v>
      </c>
      <c r="AD12" s="15">
        <f>SUBTOTAL(103,يناير!$AD$7:$AD$11)</f>
        <v>0</v>
      </c>
      <c r="AE12" s="15">
        <f>SUBTOTAL(103,يناير!$AE$7:$AE$11)</f>
        <v>1</v>
      </c>
      <c r="AF12" s="15">
        <f>SUBTOTAL(103,يناير!$AF$7:$AF$11)</f>
        <v>0</v>
      </c>
      <c r="AG12" s="15">
        <f>SUBTOTAL(103,يناير!$AG$7:$AG$11)</f>
        <v>1</v>
      </c>
      <c r="AH12" s="15">
        <f>SUBTOTAL(109,يناير[إجمالي الأيام])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893" priority="6" stopIfTrue="1">
      <formula>C7=KeyCustom2</formula>
    </cfRule>
    <cfRule type="expression" dxfId="892" priority="7" stopIfTrue="1">
      <formula>C7=KeyCustom1</formula>
    </cfRule>
    <cfRule type="expression" dxfId="891" priority="8" stopIfTrue="1">
      <formula>C7=KeySick</formula>
    </cfRule>
    <cfRule type="expression" dxfId="890" priority="9" stopIfTrue="1">
      <formula>C7=KeyPersonal</formula>
    </cfRule>
    <cfRule type="expression" dxfId="889" priority="10" stopIfTrue="1">
      <formula>C7=KeyVacation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أدخل السنة في هذه الخلية" sqref="AH4" xr:uid="{00000000-0002-0000-0000-000000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000-000001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000-000002000000}"/>
    <dataValidation allowBlank="1" showInputMessage="1" showErrorMessage="1" prompt="يتم تحديث أيام الأسبوع تلقائياً في هذا الصف للشهر وفقاً للسنة التي تم إدخالها في AH4. وكل يوم في الشهر هو عمود لتدوين غياب الموظف ونوع الغياب." sqref="C5" xr:uid="{00000000-0002-0000-0000-000003000000}"/>
    <dataValidation allowBlank="1" showInputMessage="1" showErrorMessage="1" prompt="يتم حساب إجمالي عدد أيام غياب موظف هذا الشهر." sqref="AH6" xr:uid="{00000000-0002-0000-0000-000004000000}"/>
    <dataValidation allowBlank="1" showInputMessage="1" showErrorMessage="1" prompt="عنوان ورقة العمل في هذه الخلية. قم بتحديث العنوان وسينطبق التحديث تلقائياً على كل ورقة عمل." sqref="B1" xr:uid="{00000000-0002-0000-0000-000005000000}"/>
    <dataValidation allowBlank="1" showInputMessage="1" showErrorMessage="1" prompt="شهر جدول الغياب هذا. قم بتحديث السنة في الخلية AH4. تعقب الإجماليات حسب الشهر في الخلية الأخيرة للجدول. أدخل أسماء الموظفين في العمود B للجدول." sqref="B4" xr:uid="{00000000-0002-0000-0000-000006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000-000007000000}"/>
    <dataValidation allowBlank="1" showInputMessage="1" showErrorMessage="1" prompt="الحرف &quot;ع&quot; يشير إلى الغياب بسبب قضاء عطلة" sqref="C2" xr:uid="{00000000-0002-0000-0000-000008000000}"/>
    <dataValidation allowBlank="1" showInputMessage="1" showErrorMessage="1" prompt="الحرف &quot;ش&quot; يشير إلى الغياب لأسباب شخصية" sqref="G2" xr:uid="{00000000-0002-0000-0000-000009000000}"/>
    <dataValidation allowBlank="1" showInputMessage="1" showErrorMessage="1" prompt="الحرف &quot;م&quot; يشير إلى الغياب بسبب المرض" sqref="K2" xr:uid="{00000000-0002-0000-0000-00000A000000}"/>
    <dataValidation allowBlank="1" showInputMessage="1" showErrorMessage="1" prompt="أدخل حرفاً وخصّص التسمية مباشرة لإضافة عنصر مفتاحي آخر" sqref="N2 R2" xr:uid="{00000000-0002-0000-0000-00000B000000}"/>
    <dataValidation allowBlank="1" showInputMessage="1" showErrorMessage="1" prompt="أدخل تسمية لوصف المفتاح المخصص على اليمين" sqref="O2:Q2 S2:U2" xr:uid="{00000000-0002-0000-0000-00000C000000}"/>
    <dataValidation allowBlank="1" showInputMessage="1" showErrorMessage="1" prompt="يتعقب &quot;جدول غياب الموظفين&quot; غياب الموظفين حسب الأيام لكل شهر. توجد 13 ورقة عمل، 12 لكل شهر من شهور السنة والأخيرة لأسماء الموظفين. تعقب الغياب في شهر يناير في ورقة العمل هذه." sqref="A1" xr:uid="{00000000-0002-0000-0000-00000D000000}"/>
    <dataValidation allowBlank="1" showInputMessage="1" showErrorMessage="1" prompt="أدخل السنة في الخلية الموجودة أدناه" sqref="AH3" xr:uid="{00000000-0002-0000-0000-00000E000000}"/>
  </dataValidations>
  <printOptions horizontalCentered="1"/>
  <pageMargins left="0.25" right="0.25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61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TEXT(WEEKDAY(DATE(CalendarYear,10,1),1),"aaa")</f>
        <v>الثلاثاء</v>
      </c>
      <c r="D5" s="8" t="str">
        <f>TEXT(WEEKDAY(DATE(CalendarYear,10,2),1),"aaa")</f>
        <v>الأربعاء</v>
      </c>
      <c r="E5" s="8" t="str">
        <f>TEXT(WEEKDAY(DATE(CalendarYear,10,3),1),"aaa")</f>
        <v>الخميس</v>
      </c>
      <c r="F5" s="8" t="str">
        <f>TEXT(WEEKDAY(DATE(CalendarYear,10,4),1),"aaa")</f>
        <v>الجمعة</v>
      </c>
      <c r="G5" s="8" t="str">
        <f>TEXT(WEEKDAY(DATE(CalendarYear,10,5),1),"aaa")</f>
        <v>السبت</v>
      </c>
      <c r="H5" s="8" t="str">
        <f>TEXT(WEEKDAY(DATE(CalendarYear,10,6),1),"aaa")</f>
        <v>الأحد</v>
      </c>
      <c r="I5" s="8" t="str">
        <f>TEXT(WEEKDAY(DATE(CalendarYear,10,7),1),"aaa")</f>
        <v>الإثنين</v>
      </c>
      <c r="J5" s="8" t="str">
        <f>TEXT(WEEKDAY(DATE(CalendarYear,10,8),1),"aaa")</f>
        <v>الثلاثاء</v>
      </c>
      <c r="K5" s="8" t="str">
        <f>TEXT(WEEKDAY(DATE(CalendarYear,10,9),1),"aaa")</f>
        <v>الأربعاء</v>
      </c>
      <c r="L5" s="8" t="str">
        <f>TEXT(WEEKDAY(DATE(CalendarYear,10,10),1),"aaa")</f>
        <v>الخميس</v>
      </c>
      <c r="M5" s="8" t="str">
        <f>TEXT(WEEKDAY(DATE(CalendarYear,10,11),1),"aaa")</f>
        <v>الجمعة</v>
      </c>
      <c r="N5" s="8" t="str">
        <f>TEXT(WEEKDAY(DATE(CalendarYear,10,12),1),"aaa")</f>
        <v>السبت</v>
      </c>
      <c r="O5" s="8" t="str">
        <f>TEXT(WEEKDAY(DATE(CalendarYear,10,13),1),"aaa")</f>
        <v>الأحد</v>
      </c>
      <c r="P5" s="8" t="str">
        <f>TEXT(WEEKDAY(DATE(CalendarYear,10,14),1),"aaa")</f>
        <v>الإثنين</v>
      </c>
      <c r="Q5" s="8" t="str">
        <f>TEXT(WEEKDAY(DATE(CalendarYear,10,15),1),"aaa")</f>
        <v>الثلاثاء</v>
      </c>
      <c r="R5" s="8" t="str">
        <f>TEXT(WEEKDAY(DATE(CalendarYear,10,16),1),"aaa")</f>
        <v>الأربعاء</v>
      </c>
      <c r="S5" s="8" t="str">
        <f>TEXT(WEEKDAY(DATE(CalendarYear,10,17),1),"aaa")</f>
        <v>الخميس</v>
      </c>
      <c r="T5" s="8" t="str">
        <f>TEXT(WEEKDAY(DATE(CalendarYear,10,18),1),"aaa")</f>
        <v>الجمعة</v>
      </c>
      <c r="U5" s="8" t="str">
        <f>TEXT(WEEKDAY(DATE(CalendarYear,10,19),1),"aaa")</f>
        <v>السبت</v>
      </c>
      <c r="V5" s="8" t="str">
        <f>TEXT(WEEKDAY(DATE(CalendarYear,10,20),1),"aaa")</f>
        <v>الأحد</v>
      </c>
      <c r="W5" s="8" t="str">
        <f>TEXT(WEEKDAY(DATE(CalendarYear,10,21),1),"aaa")</f>
        <v>الإثنين</v>
      </c>
      <c r="X5" s="8" t="str">
        <f>TEXT(WEEKDAY(DATE(CalendarYear,10,22),1),"aaa")</f>
        <v>الثلاثاء</v>
      </c>
      <c r="Y5" s="8" t="str">
        <f>TEXT(WEEKDAY(DATE(CalendarYear,10,23),1),"aaa")</f>
        <v>الأربعاء</v>
      </c>
      <c r="Z5" s="8" t="str">
        <f>TEXT(WEEKDAY(DATE(CalendarYear,10,24),1),"aaa")</f>
        <v>الخميس</v>
      </c>
      <c r="AA5" s="8" t="str">
        <f>TEXT(WEEKDAY(DATE(CalendarYear,10,25),1),"aaa")</f>
        <v>الجمعة</v>
      </c>
      <c r="AB5" s="8" t="str">
        <f>TEXT(WEEKDAY(DATE(CalendarYear,10,26),1),"aaa")</f>
        <v>السبت</v>
      </c>
      <c r="AC5" s="8" t="str">
        <f>TEXT(WEEKDAY(DATE(CalendarYear,10,27),1),"aaa")</f>
        <v>الأحد</v>
      </c>
      <c r="AD5" s="8" t="str">
        <f>TEXT(WEEKDAY(DATE(CalendarYear,10,28),1),"aaa")</f>
        <v>الإثنين</v>
      </c>
      <c r="AE5" s="8" t="str">
        <f>TEXT(WEEKDAY(DATE(CalendarYear,10,29),1),"aaa")</f>
        <v>الثلاثاء</v>
      </c>
      <c r="AF5" s="8" t="str">
        <f>TEXT(WEEKDAY(DATE(CalendarYear,10,30),1),"aaa")</f>
        <v>الأربعاء</v>
      </c>
      <c r="AG5" s="8" t="str">
        <f>TEXT(WEEKDAY(DATE(CalendarYear,10,31),1),"aaa")</f>
        <v>الخميس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COUNTA(أكتوبر[[#This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COUNTA(أكتوبر[[#This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COUNTA(أكتوبر[[#This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COUNTA(أكتوبر[[#This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COUNTA(أكتوبر[[#This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أكتوبر</v>
      </c>
      <c r="C12" s="15">
        <f>SUBTOTAL(103,أكتوبر[1])</f>
        <v>0</v>
      </c>
      <c r="D12" s="15">
        <f>SUBTOTAL(103,أكتوبر[2])</f>
        <v>0</v>
      </c>
      <c r="E12" s="15">
        <f>SUBTOTAL(103,أكتوبر[3])</f>
        <v>0</v>
      </c>
      <c r="F12" s="15">
        <f>SUBTOTAL(103,أكتوبر[4])</f>
        <v>0</v>
      </c>
      <c r="G12" s="15">
        <f>SUBTOTAL(103,أكتوبر[5])</f>
        <v>0</v>
      </c>
      <c r="H12" s="15">
        <f>SUBTOTAL(103,أكتوبر[6])</f>
        <v>0</v>
      </c>
      <c r="I12" s="15">
        <f>SUBTOTAL(103,أكتوبر[7])</f>
        <v>0</v>
      </c>
      <c r="J12" s="15">
        <f>SUBTOTAL(103,أكتوبر[8])</f>
        <v>0</v>
      </c>
      <c r="K12" s="15">
        <f>SUBTOTAL(103,أكتوبر[9])</f>
        <v>0</v>
      </c>
      <c r="L12" s="15">
        <f>SUBTOTAL(103,أكتوبر[10])</f>
        <v>0</v>
      </c>
      <c r="M12" s="15">
        <f>SUBTOTAL(103,أكتوبر[11])</f>
        <v>0</v>
      </c>
      <c r="N12" s="15">
        <f>SUBTOTAL(103,أكتوبر[12])</f>
        <v>0</v>
      </c>
      <c r="O12" s="15">
        <f>SUBTOTAL(103,أكتوبر[13])</f>
        <v>0</v>
      </c>
      <c r="P12" s="15">
        <f>SUBTOTAL(103,أكتوبر[14])</f>
        <v>0</v>
      </c>
      <c r="Q12" s="15">
        <f>SUBTOTAL(103,أكتوبر[15])</f>
        <v>0</v>
      </c>
      <c r="R12" s="15">
        <f>SUBTOTAL(103,أكتوبر[16])</f>
        <v>0</v>
      </c>
      <c r="S12" s="15">
        <f>SUBTOTAL(103,أكتوبر[17])</f>
        <v>0</v>
      </c>
      <c r="T12" s="15">
        <f>SUBTOTAL(103,أكتوبر[18])</f>
        <v>0</v>
      </c>
      <c r="U12" s="15">
        <f>SUBTOTAL(103,أكتوبر[19])</f>
        <v>0</v>
      </c>
      <c r="V12" s="15">
        <f>SUBTOTAL(103,أكتوبر[20])</f>
        <v>0</v>
      </c>
      <c r="W12" s="15">
        <f>SUBTOTAL(103,أكتوبر[21])</f>
        <v>0</v>
      </c>
      <c r="X12" s="15">
        <f>SUBTOTAL(103,أكتوبر[22])</f>
        <v>0</v>
      </c>
      <c r="Y12" s="15">
        <f>SUBTOTAL(103,أكتوبر[23])</f>
        <v>0</v>
      </c>
      <c r="Z12" s="15">
        <f>SUBTOTAL(103,أكتوبر[24])</f>
        <v>0</v>
      </c>
      <c r="AA12" s="15">
        <f>SUBTOTAL(103,أكتوبر[25])</f>
        <v>0</v>
      </c>
      <c r="AB12" s="15">
        <f>SUBTOTAL(103,أكتوبر[26])</f>
        <v>0</v>
      </c>
      <c r="AC12" s="15">
        <f>SUBTOTAL(103,أكتوبر[27])</f>
        <v>0</v>
      </c>
      <c r="AD12" s="15">
        <f>SUBTOTAL(103,أكتوبر[28])</f>
        <v>0</v>
      </c>
      <c r="AE12" s="15">
        <f>SUBTOTAL(103,أكتوبر[29])</f>
        <v>0</v>
      </c>
      <c r="AF12" s="15">
        <f>SUBTOTAL(103,أكتوبر[30])</f>
        <v>0</v>
      </c>
      <c r="AG12" s="15">
        <f>SUBTOTAL(103,أكتوبر[31])</f>
        <v>0</v>
      </c>
      <c r="AH12" s="15">
        <f>SUBTOTAL(109,أكتوبر[إجمالي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23" priority="2" stopIfTrue="1">
      <formula>C7=KeyCustom2</formula>
    </cfRule>
    <cfRule type="expression" dxfId="522" priority="3" stopIfTrue="1">
      <formula>C7=KeyCustom1</formula>
    </cfRule>
    <cfRule type="expression" dxfId="521" priority="4" stopIfTrue="1">
      <formula>C7=KeySick</formula>
    </cfRule>
    <cfRule type="expression" dxfId="520" priority="5" stopIfTrue="1">
      <formula>C7=KeyPersonal</formula>
    </cfRule>
    <cfRule type="expression" dxfId="51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900-000000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900-000001000000}"/>
    <dataValidation allowBlank="1" showInputMessage="1" showErrorMessage="1" prompt="يتم حساب إجمالي عدد أيام غياب موظف هذا الشهر في هذا العمود تلقائياً" sqref="AH6" xr:uid="{00000000-0002-0000-0900-000002000000}"/>
    <dataValidation allowBlank="1" showInputMessage="1" showErrorMessage="1" prompt="تعقب الغياب في شهر أكتوبر في ورقة العمل هذه" sqref="A1" xr:uid="{00000000-0002-0000-0900-000003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900-000004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900-000005000000}"/>
    <dataValidation allowBlank="1" showInputMessage="1" showErrorMessage="1" prompt="الحرف &quot;ع&quot; يشير إلى الغياب بسبب قضاء عطلة" sqref="C2" xr:uid="{00000000-0002-0000-0900-000006000000}"/>
    <dataValidation allowBlank="1" showInputMessage="1" showErrorMessage="1" prompt="الحرف &quot;ش&quot; يشير إلى الغياب لأسباب شخصية" sqref="G2" xr:uid="{00000000-0002-0000-0900-000007000000}"/>
    <dataValidation allowBlank="1" showInputMessage="1" showErrorMessage="1" prompt="الحرف &quot;م&quot; يشير إلى الغياب بسبب المرض" sqref="K2" xr:uid="{00000000-0002-0000-0900-000008000000}"/>
    <dataValidation allowBlank="1" showInputMessage="1" showErrorMessage="1" prompt="أدخل حرفاً وخصّص التسمية مباشرة لإضافة عنصر مفتاحي آخر" sqref="N2 R2" xr:uid="{00000000-0002-0000-0900-000009000000}"/>
    <dataValidation allowBlank="1" showInputMessage="1" showErrorMessage="1" prompt="أدخل تسمية لوصف المفتاح المخصص على اليمين" sqref="O2:Q2 S2:U2" xr:uid="{00000000-0002-0000-0900-00000A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900-00000B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900-00000C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9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62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TEXT(WEEKDAY(DATE(CalendarYear,11,1),1),"aaa")</f>
        <v>الجمعة</v>
      </c>
      <c r="D5" s="8" t="str">
        <f>TEXT(WEEKDAY(DATE(CalendarYear,11,2),1),"aaa")</f>
        <v>السبت</v>
      </c>
      <c r="E5" s="8" t="str">
        <f>TEXT(WEEKDAY(DATE(CalendarYear,11,3),1),"aaa")</f>
        <v>الأحد</v>
      </c>
      <c r="F5" s="8" t="str">
        <f>TEXT(WEEKDAY(DATE(CalendarYear,11,4),1),"aaa")</f>
        <v>الإثنين</v>
      </c>
      <c r="G5" s="8" t="str">
        <f>TEXT(WEEKDAY(DATE(CalendarYear,11,5),1),"aaa")</f>
        <v>الثلاثاء</v>
      </c>
      <c r="H5" s="8" t="str">
        <f>TEXT(WEEKDAY(DATE(CalendarYear,11,6),1),"aaa")</f>
        <v>الأربعاء</v>
      </c>
      <c r="I5" s="8" t="str">
        <f>TEXT(WEEKDAY(DATE(CalendarYear,11,7),1),"aaa")</f>
        <v>الخميس</v>
      </c>
      <c r="J5" s="8" t="str">
        <f>TEXT(WEEKDAY(DATE(CalendarYear,11,8),1),"aaa")</f>
        <v>الجمعة</v>
      </c>
      <c r="K5" s="8" t="str">
        <f>TEXT(WEEKDAY(DATE(CalendarYear,11,9),1),"aaa")</f>
        <v>السبت</v>
      </c>
      <c r="L5" s="8" t="str">
        <f>TEXT(WEEKDAY(DATE(CalendarYear,11,10),1),"aaa")</f>
        <v>الأحد</v>
      </c>
      <c r="M5" s="8" t="str">
        <f>TEXT(WEEKDAY(DATE(CalendarYear,11,11),1),"aaa")</f>
        <v>الإثنين</v>
      </c>
      <c r="N5" s="8" t="str">
        <f>TEXT(WEEKDAY(DATE(CalendarYear,11,12),1),"aaa")</f>
        <v>الثلاثاء</v>
      </c>
      <c r="O5" s="8" t="str">
        <f>TEXT(WEEKDAY(DATE(CalendarYear,11,13),1),"aaa")</f>
        <v>الأربعاء</v>
      </c>
      <c r="P5" s="8" t="str">
        <f>TEXT(WEEKDAY(DATE(CalendarYear,11,14),1),"aaa")</f>
        <v>الخميس</v>
      </c>
      <c r="Q5" s="8" t="str">
        <f>TEXT(WEEKDAY(DATE(CalendarYear,11,15),1),"aaa")</f>
        <v>الجمعة</v>
      </c>
      <c r="R5" s="8" t="str">
        <f>TEXT(WEEKDAY(DATE(CalendarYear,11,16),1),"aaa")</f>
        <v>السبت</v>
      </c>
      <c r="S5" s="8" t="str">
        <f>TEXT(WEEKDAY(DATE(CalendarYear,11,17),1),"aaa")</f>
        <v>الأحد</v>
      </c>
      <c r="T5" s="8" t="str">
        <f>TEXT(WEEKDAY(DATE(CalendarYear,11,18),1),"aaa")</f>
        <v>الإثنين</v>
      </c>
      <c r="U5" s="8" t="str">
        <f>TEXT(WEEKDAY(DATE(CalendarYear,11,19),1),"aaa")</f>
        <v>الثلاثاء</v>
      </c>
      <c r="V5" s="8" t="str">
        <f>TEXT(WEEKDAY(DATE(CalendarYear,11,20),1),"aaa")</f>
        <v>الأربعاء</v>
      </c>
      <c r="W5" s="8" t="str">
        <f>TEXT(WEEKDAY(DATE(CalendarYear,11,21),1),"aaa")</f>
        <v>الخميس</v>
      </c>
      <c r="X5" s="8" t="str">
        <f>TEXT(WEEKDAY(DATE(CalendarYear,11,22),1),"aaa")</f>
        <v>الجمعة</v>
      </c>
      <c r="Y5" s="8" t="str">
        <f>TEXT(WEEKDAY(DATE(CalendarYear,11,23),1),"aaa")</f>
        <v>السبت</v>
      </c>
      <c r="Z5" s="8" t="str">
        <f>TEXT(WEEKDAY(DATE(CalendarYear,11,24),1),"aaa")</f>
        <v>الأحد</v>
      </c>
      <c r="AA5" s="8" t="str">
        <f>TEXT(WEEKDAY(DATE(CalendarYear,11,25),1),"aaa")</f>
        <v>الإثنين</v>
      </c>
      <c r="AB5" s="8" t="str">
        <f>TEXT(WEEKDAY(DATE(CalendarYear,11,26),1),"aaa")</f>
        <v>الثلاثاء</v>
      </c>
      <c r="AC5" s="8" t="str">
        <f>TEXT(WEEKDAY(DATE(CalendarYear,11,27),1),"aaa")</f>
        <v>الأربعاء</v>
      </c>
      <c r="AD5" s="8" t="str">
        <f>TEXT(WEEKDAY(DATE(CalendarYear,11,28),1),"aaa")</f>
        <v>الخميس</v>
      </c>
      <c r="AE5" s="8" t="str">
        <f>TEXT(WEEKDAY(DATE(CalendarYear,11,29),1),"aaa")</f>
        <v>الجمعة</v>
      </c>
      <c r="AF5" s="8" t="str">
        <f>TEXT(WEEKDAY(DATE(CalendarYear,11,30),1),"aaa")</f>
        <v>السبت</v>
      </c>
      <c r="AG5" s="8"/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52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COUNTA(نوفمبر[[#This Row],[1]:[30]])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COUNTA(نوفمبر[[#This Row],[1]:[30]])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COUNTA(نوفمبر[[#This Row],[1]:[30]])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COUNTA(نوفمبر[[#This Row],[1]:[30]])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COUNTA(نوفمبر[[#This Row],[1]:[30]])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نوفمبر</v>
      </c>
      <c r="C12" s="15">
        <f>SUBTOTAL(103,نوفمبر[1])</f>
        <v>0</v>
      </c>
      <c r="D12" s="15">
        <f>SUBTOTAL(103,نوفمبر[2])</f>
        <v>0</v>
      </c>
      <c r="E12" s="15">
        <f>SUBTOTAL(103,نوفمبر[3])</f>
        <v>0</v>
      </c>
      <c r="F12" s="15">
        <f>SUBTOTAL(103,نوفمبر[4])</f>
        <v>0</v>
      </c>
      <c r="G12" s="15">
        <f>SUBTOTAL(103,نوفمبر[5])</f>
        <v>0</v>
      </c>
      <c r="H12" s="15">
        <f>SUBTOTAL(103,نوفمبر[6])</f>
        <v>0</v>
      </c>
      <c r="I12" s="15">
        <f>SUBTOTAL(103,نوفمبر[7])</f>
        <v>0</v>
      </c>
      <c r="J12" s="15">
        <f>SUBTOTAL(103,نوفمبر[8])</f>
        <v>0</v>
      </c>
      <c r="K12" s="15">
        <f>SUBTOTAL(103,نوفمبر[9])</f>
        <v>0</v>
      </c>
      <c r="L12" s="15">
        <f>SUBTOTAL(103,نوفمبر[10])</f>
        <v>0</v>
      </c>
      <c r="M12" s="15">
        <f>SUBTOTAL(103,نوفمبر[11])</f>
        <v>0</v>
      </c>
      <c r="N12" s="15">
        <f>SUBTOTAL(103,نوفمبر[12])</f>
        <v>0</v>
      </c>
      <c r="O12" s="15">
        <f>SUBTOTAL(103,نوفمبر[13])</f>
        <v>0</v>
      </c>
      <c r="P12" s="15">
        <f>SUBTOTAL(103,نوفمبر[14])</f>
        <v>0</v>
      </c>
      <c r="Q12" s="15">
        <f>SUBTOTAL(103,نوفمبر[15])</f>
        <v>0</v>
      </c>
      <c r="R12" s="15">
        <f>SUBTOTAL(103,نوفمبر[16])</f>
        <v>0</v>
      </c>
      <c r="S12" s="15">
        <f>SUBTOTAL(103,نوفمبر[17])</f>
        <v>0</v>
      </c>
      <c r="T12" s="15">
        <f>SUBTOTAL(103,نوفمبر[18])</f>
        <v>0</v>
      </c>
      <c r="U12" s="15">
        <f>SUBTOTAL(103,نوفمبر[19])</f>
        <v>0</v>
      </c>
      <c r="V12" s="15">
        <f>SUBTOTAL(103,نوفمبر[20])</f>
        <v>0</v>
      </c>
      <c r="W12" s="15">
        <f>SUBTOTAL(103,نوفمبر[21])</f>
        <v>0</v>
      </c>
      <c r="X12" s="15">
        <f>SUBTOTAL(103,نوفمبر[22])</f>
        <v>0</v>
      </c>
      <c r="Y12" s="15">
        <f>SUBTOTAL(103,نوفمبر[23])</f>
        <v>0</v>
      </c>
      <c r="Z12" s="15">
        <f>SUBTOTAL(103,نوفمبر[24])</f>
        <v>0</v>
      </c>
      <c r="AA12" s="15">
        <f>SUBTOTAL(103,نوفمبر[25])</f>
        <v>0</v>
      </c>
      <c r="AB12" s="15">
        <f>SUBTOTAL(103,نوفمبر[26])</f>
        <v>0</v>
      </c>
      <c r="AC12" s="15">
        <f>SUBTOTAL(103,نوفمبر[27])</f>
        <v>0</v>
      </c>
      <c r="AD12" s="15">
        <f>SUBTOTAL(103,نوفمبر[28])</f>
        <v>0</v>
      </c>
      <c r="AE12" s="15">
        <f>SUBTOTAL(103,نوفمبر[29])</f>
        <v>0</v>
      </c>
      <c r="AF12" s="15">
        <f>SUBTOTAL(103,نوفمبر[30])</f>
        <v>0</v>
      </c>
      <c r="AG12" s="15">
        <f>SUBTOTAL(103,نوفمبر[[ ]])</f>
        <v>0</v>
      </c>
      <c r="AH12" s="15">
        <f>SUBTOTAL(109,نوفمبر[إجمالي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82" priority="2" stopIfTrue="1">
      <formula>C7=KeyCustom2</formula>
    </cfRule>
    <cfRule type="expression" dxfId="481" priority="3" stopIfTrue="1">
      <formula>C7=KeyCustom1</formula>
    </cfRule>
    <cfRule type="expression" dxfId="480" priority="4" stopIfTrue="1">
      <formula>C7=KeySick</formula>
    </cfRule>
    <cfRule type="expression" dxfId="479" priority="5" stopIfTrue="1">
      <formula>C7=KeyPersonal</formula>
    </cfRule>
    <cfRule type="expression" dxfId="478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A00-000000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A00-000001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A00-000002000000}"/>
    <dataValidation allowBlank="1" showInputMessage="1" showErrorMessage="1" prompt="أدخل تسمية لوصف المفتاح المخصص على اليمين" sqref="O2:Q2 S2:U2" xr:uid="{00000000-0002-0000-0A00-000003000000}"/>
    <dataValidation allowBlank="1" showInputMessage="1" showErrorMessage="1" prompt="أدخل حرفاً وخصّص التسمية مباشرة لإضافة عنصر مفتاحي آخر" sqref="N2 R2" xr:uid="{00000000-0002-0000-0A00-000004000000}"/>
    <dataValidation allowBlank="1" showInputMessage="1" showErrorMessage="1" prompt="الحرف &quot;م&quot; يشير إلى الغياب بسبب المرض" sqref="K2" xr:uid="{00000000-0002-0000-0A00-000005000000}"/>
    <dataValidation allowBlank="1" showInputMessage="1" showErrorMessage="1" prompt="الحرف &quot;ش&quot; يشير إلى الغياب لأسباب شخصية" sqref="G2" xr:uid="{00000000-0002-0000-0A00-000006000000}"/>
    <dataValidation allowBlank="1" showInputMessage="1" showErrorMessage="1" prompt="الحرف &quot;ع&quot; يشير إلى الغياب بسبب قضاء عطلة" sqref="C2" xr:uid="{00000000-0002-0000-0A00-000007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A00-000008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A00-000009000000}"/>
    <dataValidation allowBlank="1" showInputMessage="1" showErrorMessage="1" prompt="تعقب الغياب في شهر نوفمبر في ورقة العمل هذه" sqref="A1" xr:uid="{00000000-0002-0000-0A00-00000A000000}"/>
    <dataValidation allowBlank="1" showInputMessage="1" showErrorMessage="1" prompt="يتم حساب إجمالي عدد أيام غياب موظف هذا الشهر في هذا العمود تلقائياً" sqref="AH6" xr:uid="{00000000-0002-0000-0A00-00000B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A00-00000C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A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63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TEXT(WEEKDAY(DATE(CalendarYear,12,1),1),"aaa")</f>
        <v>الأحد</v>
      </c>
      <c r="D5" s="8" t="str">
        <f>TEXT(WEEKDAY(DATE(CalendarYear,12,2),1),"aaa")</f>
        <v>الإثنين</v>
      </c>
      <c r="E5" s="8" t="str">
        <f>TEXT(WEEKDAY(DATE(CalendarYear,12,3),1),"aaa")</f>
        <v>الثلاثاء</v>
      </c>
      <c r="F5" s="8" t="str">
        <f>TEXT(WEEKDAY(DATE(CalendarYear,12,4),1),"aaa")</f>
        <v>الأربعاء</v>
      </c>
      <c r="G5" s="8" t="str">
        <f>TEXT(WEEKDAY(DATE(CalendarYear,12,5),1),"aaa")</f>
        <v>الخميس</v>
      </c>
      <c r="H5" s="8" t="str">
        <f>TEXT(WEEKDAY(DATE(CalendarYear,12,6),1),"aaa")</f>
        <v>الجمعة</v>
      </c>
      <c r="I5" s="8" t="str">
        <f>TEXT(WEEKDAY(DATE(CalendarYear,12,7),1),"aaa")</f>
        <v>السبت</v>
      </c>
      <c r="J5" s="8" t="str">
        <f>TEXT(WEEKDAY(DATE(CalendarYear,12,8),1),"aaa")</f>
        <v>الأحد</v>
      </c>
      <c r="K5" s="8" t="str">
        <f>TEXT(WEEKDAY(DATE(CalendarYear,12,9),1),"aaa")</f>
        <v>الإثنين</v>
      </c>
      <c r="L5" s="8" t="str">
        <f>TEXT(WEEKDAY(DATE(CalendarYear,12,10),1),"aaa")</f>
        <v>الثلاثاء</v>
      </c>
      <c r="M5" s="8" t="str">
        <f>TEXT(WEEKDAY(DATE(CalendarYear,12,11),1),"aaa")</f>
        <v>الأربعاء</v>
      </c>
      <c r="N5" s="8" t="str">
        <f>TEXT(WEEKDAY(DATE(CalendarYear,12,12),1),"aaa")</f>
        <v>الخميس</v>
      </c>
      <c r="O5" s="8" t="str">
        <f>TEXT(WEEKDAY(DATE(CalendarYear,12,13),1),"aaa")</f>
        <v>الجمعة</v>
      </c>
      <c r="P5" s="8" t="str">
        <f>TEXT(WEEKDAY(DATE(CalendarYear,12,14),1),"aaa")</f>
        <v>السبت</v>
      </c>
      <c r="Q5" s="8" t="str">
        <f>TEXT(WEEKDAY(DATE(CalendarYear,12,15),1),"aaa")</f>
        <v>الأحد</v>
      </c>
      <c r="R5" s="8" t="str">
        <f>TEXT(WEEKDAY(DATE(CalendarYear,12,16),1),"aaa")</f>
        <v>الإثنين</v>
      </c>
      <c r="S5" s="8" t="str">
        <f>TEXT(WEEKDAY(DATE(CalendarYear,12,17),1),"aaa")</f>
        <v>الثلاثاء</v>
      </c>
      <c r="T5" s="8" t="str">
        <f>TEXT(WEEKDAY(DATE(CalendarYear,12,18),1),"aaa")</f>
        <v>الأربعاء</v>
      </c>
      <c r="U5" s="8" t="str">
        <f>TEXT(WEEKDAY(DATE(CalendarYear,12,19),1),"aaa")</f>
        <v>الخميس</v>
      </c>
      <c r="V5" s="8" t="str">
        <f>TEXT(WEEKDAY(DATE(CalendarYear,12,20),1),"aaa")</f>
        <v>الجمعة</v>
      </c>
      <c r="W5" s="8" t="str">
        <f>TEXT(WEEKDAY(DATE(CalendarYear,12,21),1),"aaa")</f>
        <v>السبت</v>
      </c>
      <c r="X5" s="8" t="str">
        <f>TEXT(WEEKDAY(DATE(CalendarYear,12,22),1),"aaa")</f>
        <v>الأحد</v>
      </c>
      <c r="Y5" s="8" t="str">
        <f>TEXT(WEEKDAY(DATE(CalendarYear,12,23),1),"aaa")</f>
        <v>الإثنين</v>
      </c>
      <c r="Z5" s="8" t="str">
        <f>TEXT(WEEKDAY(DATE(CalendarYear,12,24),1),"aaa")</f>
        <v>الثلاثاء</v>
      </c>
      <c r="AA5" s="8" t="str">
        <f>TEXT(WEEKDAY(DATE(CalendarYear,12,25),1),"aaa")</f>
        <v>الأربعاء</v>
      </c>
      <c r="AB5" s="8" t="str">
        <f>TEXT(WEEKDAY(DATE(CalendarYear,12,26),1),"aaa")</f>
        <v>الخميس</v>
      </c>
      <c r="AC5" s="8" t="str">
        <f>TEXT(WEEKDAY(DATE(CalendarYear,12,27),1),"aaa")</f>
        <v>الجمعة</v>
      </c>
      <c r="AD5" s="8" t="str">
        <f>TEXT(WEEKDAY(DATE(CalendarYear,12,28),1),"aaa")</f>
        <v>السبت</v>
      </c>
      <c r="AE5" s="8" t="str">
        <f>TEXT(WEEKDAY(DATE(CalendarYear,12,29),1),"aaa")</f>
        <v>الأحد</v>
      </c>
      <c r="AF5" s="8" t="str">
        <f>TEXT(WEEKDAY(DATE(CalendarYear,12,30),1),"aaa")</f>
        <v>الإثنين</v>
      </c>
      <c r="AG5" s="8" t="str">
        <f>TEXT(WEEKDAY(DATE(CalendarYear,12,31),1),"aaa")</f>
        <v>الثلاثاء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COUNTA(ديسمبر[[#This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COUNTA(ديسمبر[[#This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COUNTA(ديسمبر[[#This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COUNTA(ديسمبر[[#This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COUNTA(ديسمبر[[#This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ديسمبر</v>
      </c>
      <c r="C12" s="15">
        <f>SUBTOTAL(103,ديسمبر[1])</f>
        <v>0</v>
      </c>
      <c r="D12" s="15">
        <f>SUBTOTAL(103,ديسمبر[2])</f>
        <v>0</v>
      </c>
      <c r="E12" s="15">
        <f>SUBTOTAL(103,ديسمبر[3])</f>
        <v>0</v>
      </c>
      <c r="F12" s="15">
        <f>SUBTOTAL(103,ديسمبر[4])</f>
        <v>0</v>
      </c>
      <c r="G12" s="15">
        <f>SUBTOTAL(103,ديسمبر[5])</f>
        <v>0</v>
      </c>
      <c r="H12" s="15">
        <f>SUBTOTAL(103,ديسمبر[6])</f>
        <v>0</v>
      </c>
      <c r="I12" s="15">
        <f>SUBTOTAL(103,ديسمبر[7])</f>
        <v>0</v>
      </c>
      <c r="J12" s="15">
        <f>SUBTOTAL(103,ديسمبر[8])</f>
        <v>0</v>
      </c>
      <c r="K12" s="15">
        <f>SUBTOTAL(103,ديسمبر[9])</f>
        <v>0</v>
      </c>
      <c r="L12" s="15">
        <f>SUBTOTAL(103,ديسمبر[10])</f>
        <v>0</v>
      </c>
      <c r="M12" s="15">
        <f>SUBTOTAL(103,ديسمبر[11])</f>
        <v>0</v>
      </c>
      <c r="N12" s="15">
        <f>SUBTOTAL(103,ديسمبر[12])</f>
        <v>0</v>
      </c>
      <c r="O12" s="15">
        <f>SUBTOTAL(103,ديسمبر[13])</f>
        <v>0</v>
      </c>
      <c r="P12" s="15">
        <f>SUBTOTAL(103,ديسمبر[14])</f>
        <v>0</v>
      </c>
      <c r="Q12" s="15">
        <f>SUBTOTAL(103,ديسمبر[15])</f>
        <v>0</v>
      </c>
      <c r="R12" s="15">
        <f>SUBTOTAL(103,ديسمبر[16])</f>
        <v>0</v>
      </c>
      <c r="S12" s="15">
        <f>SUBTOTAL(103,ديسمبر[17])</f>
        <v>0</v>
      </c>
      <c r="T12" s="15">
        <f>SUBTOTAL(103,ديسمبر[18])</f>
        <v>0</v>
      </c>
      <c r="U12" s="15">
        <f>SUBTOTAL(103,ديسمبر[19])</f>
        <v>0</v>
      </c>
      <c r="V12" s="15">
        <f>SUBTOTAL(103,ديسمبر[20])</f>
        <v>0</v>
      </c>
      <c r="W12" s="15">
        <f>SUBTOTAL(103,ديسمبر[21])</f>
        <v>0</v>
      </c>
      <c r="X12" s="15">
        <f>SUBTOTAL(103,ديسمبر[22])</f>
        <v>0</v>
      </c>
      <c r="Y12" s="15">
        <f>SUBTOTAL(103,ديسمبر[23])</f>
        <v>0</v>
      </c>
      <c r="Z12" s="15">
        <f>SUBTOTAL(103,ديسمبر[24])</f>
        <v>0</v>
      </c>
      <c r="AA12" s="15">
        <f>SUBTOTAL(103,ديسمبر[25])</f>
        <v>0</v>
      </c>
      <c r="AB12" s="15">
        <f>SUBTOTAL(103,ديسمبر[26])</f>
        <v>0</v>
      </c>
      <c r="AC12" s="15">
        <f>SUBTOTAL(103,ديسمبر[27])</f>
        <v>0</v>
      </c>
      <c r="AD12" s="15">
        <f>SUBTOTAL(103,ديسمبر[28])</f>
        <v>0</v>
      </c>
      <c r="AE12" s="15">
        <f>SUBTOTAL(103,ديسمبر[29])</f>
        <v>0</v>
      </c>
      <c r="AF12" s="15">
        <f>SUBTOTAL(103,ديسمبر[30])</f>
        <v>0</v>
      </c>
      <c r="AG12" s="15">
        <f>SUBTOTAL(103,ديسمبر[31])</f>
        <v>0</v>
      </c>
      <c r="AH12" s="15">
        <f>SUBTOTAL(109,ديسمبر[إجمالي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41" priority="2" stopIfTrue="1">
      <formula>C7=KeyCustom2</formula>
    </cfRule>
    <cfRule type="expression" dxfId="440" priority="3" stopIfTrue="1">
      <formula>C7=KeyCustom1</formula>
    </cfRule>
    <cfRule type="expression" dxfId="439" priority="4" stopIfTrue="1">
      <formula>C7=KeySick</formula>
    </cfRule>
    <cfRule type="expression" dxfId="438" priority="5" stopIfTrue="1">
      <formula>C7=KeyPersonal</formula>
    </cfRule>
    <cfRule type="expression" dxfId="437" priority="6" stopIfTrue="1">
      <formula>C7=KeyVacation</formula>
    </cfRule>
  </conditionalFormatting>
  <conditionalFormatting sqref="AH7:AH11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سنة محدّثة تلقائياً استناداً إلى السنة التي تم إدخالها في ورقة عمل &quot;يناير&quot;." sqref="AH4" xr:uid="{00000000-0002-0000-0B00-000000000000}"/>
    <dataValidation allowBlank="1" showInputMessage="1" showErrorMessage="1" prompt="يتم حساب إجمالي عدد أيام غياب موظف هذا الشهر في هذا العمود تلقائياً" sqref="AH6" xr:uid="{00000000-0002-0000-0B00-000001000000}"/>
    <dataValidation allowBlank="1" showInputMessage="1" showErrorMessage="1" prompt="تعقب الغياب في شهر ديسمبر في ورقة العمل هذه" sqref="A1" xr:uid="{00000000-0002-0000-0B00-000002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B00-000003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B00-000004000000}"/>
    <dataValidation allowBlank="1" showInputMessage="1" showErrorMessage="1" prompt="الحرف &quot;ع&quot; يشير إلى الغياب بسبب قضاء عطلة" sqref="C2" xr:uid="{00000000-0002-0000-0B00-000005000000}"/>
    <dataValidation allowBlank="1" showInputMessage="1" showErrorMessage="1" prompt="الحرف &quot;ش&quot; يشير إلى الغياب لأسباب شخصية" sqref="G2" xr:uid="{00000000-0002-0000-0B00-000006000000}"/>
    <dataValidation allowBlank="1" showInputMessage="1" showErrorMessage="1" prompt="الحرف &quot;م&quot; يشير إلى الغياب بسبب المرض" sqref="K2" xr:uid="{00000000-0002-0000-0B00-000007000000}"/>
    <dataValidation allowBlank="1" showInputMessage="1" showErrorMessage="1" prompt="أدخل حرفاً وخصّص التسمية مباشرة لإضافة عنصر مفتاحي آخر" sqref="N2 R2" xr:uid="{00000000-0002-0000-0B00-000008000000}"/>
    <dataValidation allowBlank="1" showInputMessage="1" showErrorMessage="1" prompt="أدخل تسمية لوصف المفتاح المخصص على اليمين" sqref="O2:Q2 S2:U2" xr:uid="{00000000-0002-0000-0B00-000009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B00-00000A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B00-00000B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B00-00000C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B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rightToLeft="1" workbookViewId="0"/>
  </sheetViews>
  <sheetFormatPr defaultRowHeight="30" customHeight="1" x14ac:dyDescent="0.2"/>
  <cols>
    <col min="1" max="1" width="2.625" style="16" customWidth="1"/>
    <col min="2" max="2" width="30.625" style="16" customWidth="1"/>
    <col min="3" max="3" width="2.625" style="16" customWidth="1"/>
    <col min="4" max="16384" width="9" style="16"/>
  </cols>
  <sheetData>
    <row r="1" spans="2:2" ht="49.5" customHeight="1" x14ac:dyDescent="0.2">
      <c r="B1" s="26" t="s">
        <v>64</v>
      </c>
    </row>
    <row r="2" spans="2:2" ht="15" customHeight="1" x14ac:dyDescent="0.2"/>
    <row r="3" spans="2:2" ht="30" customHeight="1" x14ac:dyDescent="0.2">
      <c r="B3" s="16" t="s">
        <v>64</v>
      </c>
    </row>
    <row r="4" spans="2:2" ht="30" customHeight="1" x14ac:dyDescent="0.2">
      <c r="B4" s="18" t="s">
        <v>4</v>
      </c>
    </row>
    <row r="5" spans="2:2" ht="30" customHeight="1" x14ac:dyDescent="0.2">
      <c r="B5" s="18" t="s">
        <v>5</v>
      </c>
    </row>
    <row r="6" spans="2:2" ht="30" customHeight="1" x14ac:dyDescent="0.2">
      <c r="B6" s="18" t="s">
        <v>6</v>
      </c>
    </row>
    <row r="7" spans="2:2" ht="30" customHeight="1" x14ac:dyDescent="0.2">
      <c r="B7" s="18" t="s">
        <v>7</v>
      </c>
    </row>
    <row r="8" spans="2:2" ht="30" customHeight="1" x14ac:dyDescent="0.2">
      <c r="B8" s="18" t="s">
        <v>8</v>
      </c>
    </row>
  </sheetData>
  <dataValidations count="3">
    <dataValidation allowBlank="1" showInputMessage="1" showErrorMessage="1" prompt="عنوان أسماء الموظفين" sqref="B1" xr:uid="{00000000-0002-0000-0C00-000000000000}"/>
    <dataValidation allowBlank="1" showInputMessage="1" showErrorMessage="1" prompt="أدخل أسماء الموظفين في جدول أسماء الموظفين في ورقة العمل هذه. يتم استخدام هذه الأسماء كخيارات في العمود B لكل جدول غياب في الشهر." sqref="A1" xr:uid="{00000000-0002-0000-0C00-000001000000}"/>
    <dataValidation allowBlank="1" showInputMessage="1" showErrorMessage="1" prompt="أدخل أسماء الموظفين في هذا العمود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I12"/>
  <sheetViews>
    <sheetView showGridLines="0" rightToLeft="1" zoomScaleNormal="100" workbookViewId="0"/>
  </sheetViews>
  <sheetFormatPr defaultColWidth="9.125"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.125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1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51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TEXT(WEEKDAY(DATE(CalendarYear,2,1),1),"aaa")</f>
        <v>الجمعة</v>
      </c>
      <c r="D5" s="8" t="str">
        <f>TEXT(WEEKDAY(DATE(CalendarYear,2,2),1),"aaa")</f>
        <v>السبت</v>
      </c>
      <c r="E5" s="8" t="str">
        <f>TEXT(WEEKDAY(DATE(CalendarYear,2,3),1),"aaa")</f>
        <v>الأحد</v>
      </c>
      <c r="F5" s="8" t="str">
        <f>TEXT(WEEKDAY(DATE(CalendarYear,2,4),1),"aaa")</f>
        <v>الإثنين</v>
      </c>
      <c r="G5" s="8" t="str">
        <f>TEXT(WEEKDAY(DATE(CalendarYear,2,5),1),"aaa")</f>
        <v>الثلاثاء</v>
      </c>
      <c r="H5" s="8" t="str">
        <f>TEXT(WEEKDAY(DATE(CalendarYear,2,6),1),"aaa")</f>
        <v>الأربعاء</v>
      </c>
      <c r="I5" s="8" t="str">
        <f>TEXT(WEEKDAY(DATE(CalendarYear,2,7),1),"aaa")</f>
        <v>الخميس</v>
      </c>
      <c r="J5" s="8" t="str">
        <f>TEXT(WEEKDAY(DATE(CalendarYear,2,8),1),"aaa")</f>
        <v>الجمعة</v>
      </c>
      <c r="K5" s="8" t="str">
        <f>TEXT(WEEKDAY(DATE(CalendarYear,2,9),1),"aaa")</f>
        <v>السبت</v>
      </c>
      <c r="L5" s="8" t="str">
        <f>TEXT(WEEKDAY(DATE(CalendarYear,2,10),1),"aaa")</f>
        <v>الأحد</v>
      </c>
      <c r="M5" s="8" t="str">
        <f>TEXT(WEEKDAY(DATE(CalendarYear,2,11),1),"aaa")</f>
        <v>الإثنين</v>
      </c>
      <c r="N5" s="8" t="str">
        <f>TEXT(WEEKDAY(DATE(CalendarYear,2,12),1),"aaa")</f>
        <v>الثلاثاء</v>
      </c>
      <c r="O5" s="8" t="str">
        <f>TEXT(WEEKDAY(DATE(CalendarYear,2,13),1),"aaa")</f>
        <v>الأربعاء</v>
      </c>
      <c r="P5" s="8" t="str">
        <f>TEXT(WEEKDAY(DATE(CalendarYear,2,14),1),"aaa")</f>
        <v>الخميس</v>
      </c>
      <c r="Q5" s="8" t="str">
        <f>TEXT(WEEKDAY(DATE(CalendarYear,2,15),1),"aaa")</f>
        <v>الجمعة</v>
      </c>
      <c r="R5" s="8" t="str">
        <f>TEXT(WEEKDAY(DATE(CalendarYear,2,16),1),"aaa")</f>
        <v>السبت</v>
      </c>
      <c r="S5" s="8" t="str">
        <f>TEXT(WEEKDAY(DATE(CalendarYear,2,17),1),"aaa")</f>
        <v>الأحد</v>
      </c>
      <c r="T5" s="8" t="str">
        <f>TEXT(WEEKDAY(DATE(CalendarYear,2,18),1),"aaa")</f>
        <v>الإثنين</v>
      </c>
      <c r="U5" s="8" t="str">
        <f>TEXT(WEEKDAY(DATE(CalendarYear,2,19),1),"aaa")</f>
        <v>الثلاثاء</v>
      </c>
      <c r="V5" s="8" t="str">
        <f>TEXT(WEEKDAY(DATE(CalendarYear,2,20),1),"aaa")</f>
        <v>الأربعاء</v>
      </c>
      <c r="W5" s="8" t="str">
        <f>TEXT(WEEKDAY(DATE(CalendarYear,2,21),1),"aaa")</f>
        <v>الخميس</v>
      </c>
      <c r="X5" s="8" t="str">
        <f>TEXT(WEEKDAY(DATE(CalendarYear,2,22),1),"aaa")</f>
        <v>الجمعة</v>
      </c>
      <c r="Y5" s="8" t="str">
        <f>TEXT(WEEKDAY(DATE(CalendarYear,2,23),1),"aaa")</f>
        <v>السبت</v>
      </c>
      <c r="Z5" s="8" t="str">
        <f>TEXT(WEEKDAY(DATE(CalendarYear,2,24),1),"aaa")</f>
        <v>الأحد</v>
      </c>
      <c r="AA5" s="8" t="str">
        <f>TEXT(WEEKDAY(DATE(CalendarYear,2,25),1),"aaa")</f>
        <v>الإثنين</v>
      </c>
      <c r="AB5" s="8" t="str">
        <f>TEXT(WEEKDAY(DATE(CalendarYear,2,26),1),"aaa")</f>
        <v>الثلاثاء</v>
      </c>
      <c r="AC5" s="8" t="str">
        <f>TEXT(WEEKDAY(DATE(CalendarYear,2,27),1),"aaa")</f>
        <v>الأربعاء</v>
      </c>
      <c r="AD5" s="8" t="str">
        <f>TEXT(WEEKDAY(DATE(CalendarYear,2,28),1),"aaa")</f>
        <v>الخميس</v>
      </c>
      <c r="AE5" s="8" t="str">
        <f>TEXT(WEEKDAY(DATE(CalendarYear,2,29),1),"aaa")</f>
        <v>الجمعة</v>
      </c>
      <c r="AF5" s="8"/>
      <c r="AG5" s="8"/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52</v>
      </c>
      <c r="AG6" s="10" t="s">
        <v>53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 t="s">
        <v>9</v>
      </c>
      <c r="F7" s="10" t="s">
        <v>9</v>
      </c>
      <c r="G7" s="10" t="s">
        <v>9</v>
      </c>
      <c r="H7" s="10" t="s">
        <v>9</v>
      </c>
      <c r="I7" s="10"/>
      <c r="J7" s="10"/>
      <c r="K7" s="10"/>
      <c r="L7" s="10"/>
      <c r="M7" s="10"/>
      <c r="N7" s="10"/>
      <c r="O7" s="10" t="s">
        <v>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COUNTA(فبراير[[#This Row],[1]:[29]])</f>
        <v>5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 t="s">
        <v>17</v>
      </c>
      <c r="H8" s="10" t="s">
        <v>17</v>
      </c>
      <c r="I8" s="10"/>
      <c r="J8" s="10"/>
      <c r="K8" s="10"/>
      <c r="L8" s="10"/>
      <c r="M8" s="10" t="s">
        <v>15</v>
      </c>
      <c r="N8" s="10"/>
      <c r="O8" s="10"/>
      <c r="P8" s="10"/>
      <c r="Q8" s="10"/>
      <c r="R8" s="10"/>
      <c r="S8" s="10"/>
      <c r="T8" s="10"/>
      <c r="U8" s="10"/>
      <c r="V8" s="10" t="s">
        <v>17</v>
      </c>
      <c r="W8" s="10"/>
      <c r="X8" s="10"/>
      <c r="Y8" s="10"/>
      <c r="Z8" s="10"/>
      <c r="AA8" s="10" t="s">
        <v>9</v>
      </c>
      <c r="AB8" s="10" t="s">
        <v>9</v>
      </c>
      <c r="AC8" s="10" t="s">
        <v>9</v>
      </c>
      <c r="AD8" s="10"/>
      <c r="AE8" s="10"/>
      <c r="AF8" s="10"/>
      <c r="AG8" s="10"/>
      <c r="AH8" s="13">
        <f>COUNTA(فبراير[[#This Row],[1]:[29]])</f>
        <v>7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COUNTA(فبراير[[#This Row],[1]:[29]])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 t="s">
        <v>17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17</v>
      </c>
      <c r="Q10" s="10"/>
      <c r="R10" s="10"/>
      <c r="S10" s="10"/>
      <c r="T10" s="10" t="s">
        <v>15</v>
      </c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17</v>
      </c>
      <c r="AE10" s="10"/>
      <c r="AF10" s="10"/>
      <c r="AG10" s="10"/>
      <c r="AH10" s="13">
        <f>COUNTA(فبراير[[#This Row],[1]:[29]])</f>
        <v>4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 t="s">
        <v>9</v>
      </c>
      <c r="K11" s="10" t="s">
        <v>9</v>
      </c>
      <c r="L11" s="10" t="s">
        <v>9</v>
      </c>
      <c r="M11" s="10" t="s">
        <v>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 t="s">
        <v>17</v>
      </c>
      <c r="AA11" s="10"/>
      <c r="AB11" s="10"/>
      <c r="AC11" s="10"/>
      <c r="AD11" s="10"/>
      <c r="AE11" s="10"/>
      <c r="AF11" s="10"/>
      <c r="AG11" s="10"/>
      <c r="AH11" s="13">
        <f>COUNTA(فبراير[[#This Row],[1]:[29]])</f>
        <v>5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فبراير</v>
      </c>
      <c r="C12" s="15">
        <f>SUBTOTAL(103,فبراير[1])</f>
        <v>0</v>
      </c>
      <c r="D12" s="15">
        <f>SUBTOTAL(103,فبراير[2])</f>
        <v>0</v>
      </c>
      <c r="E12" s="15">
        <f>SUBTOTAL(103,فبراير[3])</f>
        <v>2</v>
      </c>
      <c r="F12" s="15">
        <f>SUBTOTAL(103,فبراير[4])</f>
        <v>1</v>
      </c>
      <c r="G12" s="15">
        <f>SUBTOTAL(103,فبراير[5])</f>
        <v>2</v>
      </c>
      <c r="H12" s="15">
        <f>SUBTOTAL(103,فبراير[6])</f>
        <v>2</v>
      </c>
      <c r="I12" s="15">
        <f>SUBTOTAL(103,فبراير[7])</f>
        <v>0</v>
      </c>
      <c r="J12" s="15">
        <f>SUBTOTAL(103,فبراير[8])</f>
        <v>1</v>
      </c>
      <c r="K12" s="15">
        <f>SUBTOTAL(103,فبراير[9])</f>
        <v>1</v>
      </c>
      <c r="L12" s="15">
        <f>SUBTOTAL(103,فبراير[10])</f>
        <v>1</v>
      </c>
      <c r="M12" s="15">
        <f>SUBTOTAL(103,فبراير[11])</f>
        <v>2</v>
      </c>
      <c r="N12" s="15">
        <f>SUBTOTAL(103,فبراير[12])</f>
        <v>0</v>
      </c>
      <c r="O12" s="15">
        <f>SUBTOTAL(103,فبراير[13])</f>
        <v>1</v>
      </c>
      <c r="P12" s="15">
        <f>SUBTOTAL(103,فبراير[14])</f>
        <v>1</v>
      </c>
      <c r="Q12" s="15">
        <f>SUBTOTAL(103,فبراير[15])</f>
        <v>0</v>
      </c>
      <c r="R12" s="15">
        <f>SUBTOTAL(103,فبراير[16])</f>
        <v>0</v>
      </c>
      <c r="S12" s="15">
        <f>SUBTOTAL(103,فبراير[17])</f>
        <v>0</v>
      </c>
      <c r="T12" s="15">
        <f>SUBTOTAL(103,فبراير[18])</f>
        <v>1</v>
      </c>
      <c r="U12" s="15">
        <f>SUBTOTAL(103,فبراير[19])</f>
        <v>0</v>
      </c>
      <c r="V12" s="15">
        <f>SUBTOTAL(103,فبراير[20])</f>
        <v>1</v>
      </c>
      <c r="W12" s="15">
        <f>SUBTOTAL(103,فبراير[21])</f>
        <v>0</v>
      </c>
      <c r="X12" s="15">
        <f>SUBTOTAL(103,فبراير[22])</f>
        <v>0</v>
      </c>
      <c r="Y12" s="15">
        <f>SUBTOTAL(103,فبراير[23])</f>
        <v>0</v>
      </c>
      <c r="Z12" s="15">
        <f>SUBTOTAL(103,فبراير[24])</f>
        <v>1</v>
      </c>
      <c r="AA12" s="15">
        <f>SUBTOTAL(103,فبراير[25])</f>
        <v>1</v>
      </c>
      <c r="AB12" s="15">
        <f>SUBTOTAL(103,فبراير[26])</f>
        <v>1</v>
      </c>
      <c r="AC12" s="15">
        <f>SUBTOTAL(103,فبراير[27])</f>
        <v>1</v>
      </c>
      <c r="AD12" s="15">
        <f>SUBTOTAL(103,فبراير[28])</f>
        <v>1</v>
      </c>
      <c r="AE12" s="15">
        <f>SUBTOTAL(103,فبراير[29])</f>
        <v>0</v>
      </c>
      <c r="AF12" s="15"/>
      <c r="AG12" s="15"/>
      <c r="AH12" s="15">
        <f>SUBTOTAL(109,فبراير[إجمالي الأيام])</f>
        <v>21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AE6">
    <cfRule type="expression" dxfId="853" priority="16">
      <formula>MONTH(DATE(CalendarYear,2,29))&lt;&gt;2</formula>
    </cfRule>
  </conditionalFormatting>
  <conditionalFormatting sqref="AE5">
    <cfRule type="expression" dxfId="852" priority="15">
      <formula>MONTH(DATE(CalendarYear,2,29))&lt;&gt;2</formula>
    </cfRule>
  </conditionalFormatting>
  <conditionalFormatting sqref="C7:AG11">
    <cfRule type="expression" priority="2" stopIfTrue="1">
      <formula>C7=""</formula>
    </cfRule>
    <cfRule type="expression" dxfId="851" priority="3" stopIfTrue="1">
      <formula>C7=KeyCustom2</formula>
    </cfRule>
  </conditionalFormatting>
  <conditionalFormatting sqref="C7:AG11">
    <cfRule type="expression" dxfId="850" priority="5" stopIfTrue="1">
      <formula>C7=KeyCustom1</formula>
    </cfRule>
    <cfRule type="expression" dxfId="849" priority="6" stopIfTrue="1">
      <formula>C7=KeySick</formula>
    </cfRule>
    <cfRule type="expression" dxfId="848" priority="7" stopIfTrue="1">
      <formula>C7=KeyPersonal</formula>
    </cfRule>
    <cfRule type="expression" dxfId="847" priority="8" stopIfTrue="1">
      <formula>C7=KeyVacation</formula>
    </cfRule>
  </conditionalFormatting>
  <conditionalFormatting sqref="AH7:AH11">
    <cfRule type="dataBar" priority="15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سنة محدّثة تلقائياً استناداً إلى السنة التي تم إدخالها في ورقة عمل &quot;يناير&quot;." sqref="AH4" xr:uid="{00000000-0002-0000-0100-000000000000}"/>
    <dataValidation allowBlank="1" showInputMessage="1" showErrorMessage="1" prompt="تعقب الغياب في شهر فبراير في ورقة العمل هذه" sqref="A1" xr:uid="{00000000-0002-0000-0100-000001000000}"/>
    <dataValidation allowBlank="1" showInputMessage="1" showErrorMessage="1" prompt="يتم حساب إجمالي عدد أيام غياب موظف هذا الشهر في هذا العمود تلقائياً" sqref="AH6" xr:uid="{00000000-0002-0000-0100-000002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100-000003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100-000004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100-000005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100-000006000000}"/>
    <dataValidation allowBlank="1" showInputMessage="1" showErrorMessage="1" prompt="أدخل تسمية لوصف المفتاح المخصص على اليمين" sqref="O2:Q2 S2:U2" xr:uid="{00000000-0002-0000-0100-000007000000}"/>
    <dataValidation allowBlank="1" showInputMessage="1" showErrorMessage="1" prompt="أدخل حرفاً وخصّص التسمية مباشرة لإضافة عنصر مفتاحي آخر" sqref="N2 R2" xr:uid="{00000000-0002-0000-0100-000008000000}"/>
    <dataValidation allowBlank="1" showInputMessage="1" showErrorMessage="1" prompt="الحرف &quot;م&quot; يشير إلى الغياب بسبب المرض" sqref="K2" xr:uid="{00000000-0002-0000-0100-000009000000}"/>
    <dataValidation allowBlank="1" showInputMessage="1" showErrorMessage="1" prompt="الحرف &quot;ش&quot; يشير إلى الغياب لأسباب شخصية" sqref="G2" xr:uid="{00000000-0002-0000-0100-00000A000000}"/>
    <dataValidation allowBlank="1" showInputMessage="1" showErrorMessage="1" prompt="الحرف &quot;ع&quot; يشير إلى الغياب بسبب قضاء عطلة" sqref="C2" xr:uid="{00000000-0002-0000-0100-00000B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100-00000C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1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54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TEXT(WEEKDAY(DATE(CalendarYear,3,1),1),"aaa")</f>
        <v>الجمعة</v>
      </c>
      <c r="D5" s="8" t="str">
        <f>TEXT(WEEKDAY(DATE(CalendarYear,3,2),1),"aaa")</f>
        <v>السبت</v>
      </c>
      <c r="E5" s="8" t="str">
        <f>TEXT(WEEKDAY(DATE(CalendarYear,3,3),1),"aaa")</f>
        <v>الأحد</v>
      </c>
      <c r="F5" s="8" t="str">
        <f>TEXT(WEEKDAY(DATE(CalendarYear,3,4),1),"aaa")</f>
        <v>الإثنين</v>
      </c>
      <c r="G5" s="8" t="str">
        <f>TEXT(WEEKDAY(DATE(CalendarYear,3,5),1),"aaa")</f>
        <v>الثلاثاء</v>
      </c>
      <c r="H5" s="8" t="str">
        <f>TEXT(WEEKDAY(DATE(CalendarYear,3,6),1),"aaa")</f>
        <v>الأربعاء</v>
      </c>
      <c r="I5" s="8" t="str">
        <f>TEXT(WEEKDAY(DATE(CalendarYear,3,7),1),"aaa")</f>
        <v>الخميس</v>
      </c>
      <c r="J5" s="8" t="str">
        <f>TEXT(WEEKDAY(DATE(CalendarYear,3,8),1),"aaa")</f>
        <v>الجمعة</v>
      </c>
      <c r="K5" s="8" t="str">
        <f>TEXT(WEEKDAY(DATE(CalendarYear,3,9),1),"aaa")</f>
        <v>السبت</v>
      </c>
      <c r="L5" s="8" t="str">
        <f>TEXT(WEEKDAY(DATE(CalendarYear,3,10),1),"aaa")</f>
        <v>الأحد</v>
      </c>
      <c r="M5" s="8" t="str">
        <f>TEXT(WEEKDAY(DATE(CalendarYear,3,11),1),"aaa")</f>
        <v>الإثنين</v>
      </c>
      <c r="N5" s="8" t="str">
        <f>TEXT(WEEKDAY(DATE(CalendarYear,3,12),1),"aaa")</f>
        <v>الثلاثاء</v>
      </c>
      <c r="O5" s="8" t="str">
        <f>TEXT(WEEKDAY(DATE(CalendarYear,3,13),1),"aaa")</f>
        <v>الأربعاء</v>
      </c>
      <c r="P5" s="8" t="str">
        <f>TEXT(WEEKDAY(DATE(CalendarYear,3,14),1),"aaa")</f>
        <v>الخميس</v>
      </c>
      <c r="Q5" s="8" t="str">
        <f>TEXT(WEEKDAY(DATE(CalendarYear,3,15),1),"aaa")</f>
        <v>الجمعة</v>
      </c>
      <c r="R5" s="8" t="str">
        <f>TEXT(WEEKDAY(DATE(CalendarYear,3,16),1),"aaa")</f>
        <v>السبت</v>
      </c>
      <c r="S5" s="8" t="str">
        <f>TEXT(WEEKDAY(DATE(CalendarYear,3,17),1),"aaa")</f>
        <v>الأحد</v>
      </c>
      <c r="T5" s="8" t="str">
        <f>TEXT(WEEKDAY(DATE(CalendarYear,3,18),1),"aaa")</f>
        <v>الإثنين</v>
      </c>
      <c r="U5" s="8" t="str">
        <f>TEXT(WEEKDAY(DATE(CalendarYear,3,19),1),"aaa")</f>
        <v>الثلاثاء</v>
      </c>
      <c r="V5" s="8" t="str">
        <f>TEXT(WEEKDAY(DATE(CalendarYear,3,20),1),"aaa")</f>
        <v>الأربعاء</v>
      </c>
      <c r="W5" s="8" t="str">
        <f>TEXT(WEEKDAY(DATE(CalendarYear,3,21),1),"aaa")</f>
        <v>الخميس</v>
      </c>
      <c r="X5" s="8" t="str">
        <f>TEXT(WEEKDAY(DATE(CalendarYear,3,22),1),"aaa")</f>
        <v>الجمعة</v>
      </c>
      <c r="Y5" s="8" t="str">
        <f>TEXT(WEEKDAY(DATE(CalendarYear,3,23),1),"aaa")</f>
        <v>السبت</v>
      </c>
      <c r="Z5" s="8" t="str">
        <f>TEXT(WEEKDAY(DATE(CalendarYear,3,24),1),"aaa")</f>
        <v>الأحد</v>
      </c>
      <c r="AA5" s="8" t="str">
        <f>TEXT(WEEKDAY(DATE(CalendarYear,3,25),1),"aaa")</f>
        <v>الإثنين</v>
      </c>
      <c r="AB5" s="8" t="str">
        <f>TEXT(WEEKDAY(DATE(CalendarYear,3,26),1),"aaa")</f>
        <v>الثلاثاء</v>
      </c>
      <c r="AC5" s="8" t="str">
        <f>TEXT(WEEKDAY(DATE(CalendarYear,3,27),1),"aaa")</f>
        <v>الأربعاء</v>
      </c>
      <c r="AD5" s="8" t="str">
        <f>TEXT(WEEKDAY(DATE(CalendarYear,3,28),1),"aaa")</f>
        <v>الخميس</v>
      </c>
      <c r="AE5" s="8" t="str">
        <f>TEXT(WEEKDAY(DATE(CalendarYear,3,29),1),"aaa")</f>
        <v>الجمعة</v>
      </c>
      <c r="AF5" s="8" t="str">
        <f>TEXT(WEEKDAY(DATE(CalendarYear,3,30),1),"aaa")</f>
        <v>السبت</v>
      </c>
      <c r="AG5" s="8" t="str">
        <f>TEXT(WEEKDAY(DATE(CalendarYear,3,31),1),"aaa")</f>
        <v>الأحد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COUNTA(مارس[[#This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COUNTA(مارس[[#This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COUNTA(مارس[[#This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COUNTA(مارس[[#This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COUNTA(مارس[[#This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مارس</v>
      </c>
      <c r="C12" s="15">
        <f>SUBTOTAL(103,مارس[1])</f>
        <v>0</v>
      </c>
      <c r="D12" s="15">
        <f>SUBTOTAL(103,مارس[2])</f>
        <v>0</v>
      </c>
      <c r="E12" s="15">
        <f>SUBTOTAL(103,مارس[3])</f>
        <v>0</v>
      </c>
      <c r="F12" s="15">
        <f>SUBTOTAL(103,مارس[4])</f>
        <v>0</v>
      </c>
      <c r="G12" s="15">
        <f>SUBTOTAL(103,مارس[5])</f>
        <v>0</v>
      </c>
      <c r="H12" s="15">
        <f>SUBTOTAL(103,مارس[6])</f>
        <v>0</v>
      </c>
      <c r="I12" s="15">
        <f>SUBTOTAL(103,مارس[7])</f>
        <v>0</v>
      </c>
      <c r="J12" s="15">
        <f>SUBTOTAL(103,مارس[8])</f>
        <v>0</v>
      </c>
      <c r="K12" s="15">
        <f>SUBTOTAL(103,مارس[9])</f>
        <v>0</v>
      </c>
      <c r="L12" s="15">
        <f>SUBTOTAL(103,مارس[10])</f>
        <v>0</v>
      </c>
      <c r="M12" s="15">
        <f>SUBTOTAL(103,مارس[11])</f>
        <v>0</v>
      </c>
      <c r="N12" s="15">
        <f>SUBTOTAL(103,مارس[12])</f>
        <v>0</v>
      </c>
      <c r="O12" s="15">
        <f>SUBTOTAL(103,مارس[13])</f>
        <v>0</v>
      </c>
      <c r="P12" s="15">
        <f>SUBTOTAL(103,مارس[14])</f>
        <v>0</v>
      </c>
      <c r="Q12" s="15">
        <f>SUBTOTAL(103,مارس[15])</f>
        <v>0</v>
      </c>
      <c r="R12" s="15">
        <f>SUBTOTAL(103,مارس[16])</f>
        <v>0</v>
      </c>
      <c r="S12" s="15">
        <f>SUBTOTAL(103,مارس[17])</f>
        <v>0</v>
      </c>
      <c r="T12" s="15">
        <f>SUBTOTAL(103,مارس[18])</f>
        <v>0</v>
      </c>
      <c r="U12" s="15">
        <f>SUBTOTAL(103,مارس[19])</f>
        <v>0</v>
      </c>
      <c r="V12" s="15">
        <f>SUBTOTAL(103,مارس[20])</f>
        <v>0</v>
      </c>
      <c r="W12" s="15">
        <f>SUBTOTAL(103,مارس[21])</f>
        <v>0</v>
      </c>
      <c r="X12" s="15">
        <f>SUBTOTAL(103,مارس[22])</f>
        <v>0</v>
      </c>
      <c r="Y12" s="15">
        <f>SUBTOTAL(103,مارس[23])</f>
        <v>0</v>
      </c>
      <c r="Z12" s="15">
        <f>SUBTOTAL(103,مارس[24])</f>
        <v>0</v>
      </c>
      <c r="AA12" s="15">
        <f>SUBTOTAL(103,مارس[25])</f>
        <v>0</v>
      </c>
      <c r="AB12" s="15">
        <f>SUBTOTAL(103,مارس[26])</f>
        <v>0</v>
      </c>
      <c r="AC12" s="15">
        <f>SUBTOTAL(103,مارس[27])</f>
        <v>0</v>
      </c>
      <c r="AD12" s="15">
        <f>SUBTOTAL(103,مارس[28])</f>
        <v>0</v>
      </c>
      <c r="AE12" s="15">
        <f>SUBTOTAL(103,مارس[29])</f>
        <v>0</v>
      </c>
      <c r="AF12" s="15">
        <f>SUBTOTAL(103,مارس[30])</f>
        <v>0</v>
      </c>
      <c r="AG12" s="15">
        <f>SUBTOTAL(103,مارس[31])</f>
        <v>0</v>
      </c>
      <c r="AH12" s="15">
        <f>SUBTOTAL(109,مارس[إجمالي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810" priority="2" stopIfTrue="1">
      <formula>C7=KeyCustom2</formula>
    </cfRule>
    <cfRule type="expression" dxfId="809" priority="3" stopIfTrue="1">
      <formula>C7=KeyCustom1</formula>
    </cfRule>
    <cfRule type="expression" dxfId="808" priority="4" stopIfTrue="1">
      <formula>C7=KeySick</formula>
    </cfRule>
    <cfRule type="expression" dxfId="807" priority="5" stopIfTrue="1">
      <formula>C7=KeyPersonal</formula>
    </cfRule>
    <cfRule type="expression" dxfId="806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200-000000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200-000001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200-000002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200-000003000000}"/>
    <dataValidation allowBlank="1" showInputMessage="1" showErrorMessage="1" prompt="أدخل تسمية لوصف المفتاح المخصص على اليمين" sqref="O2:Q2 S2:U2" xr:uid="{00000000-0002-0000-0200-000004000000}"/>
    <dataValidation allowBlank="1" showInputMessage="1" showErrorMessage="1" prompt="أدخل حرفاً وخصّص التسمية مباشرة لإضافة عنصر مفتاحي آخر" sqref="N2 R2" xr:uid="{00000000-0002-0000-0200-000005000000}"/>
    <dataValidation allowBlank="1" showInputMessage="1" showErrorMessage="1" prompt="الحرف &quot;م&quot; يشير إلى الغياب بسبب المرض" sqref="K2" xr:uid="{00000000-0002-0000-0200-000006000000}"/>
    <dataValidation allowBlank="1" showInputMessage="1" showErrorMessage="1" prompt="الحرف &quot;ش&quot; يشير إلى الغياب لأسباب شخصية" sqref="G2" xr:uid="{00000000-0002-0000-0200-000007000000}"/>
    <dataValidation allowBlank="1" showInputMessage="1" showErrorMessage="1" prompt="الحرف &quot;ع&quot; يشير إلى الغياب بسبب قضاء عطلة" sqref="C2" xr:uid="{00000000-0002-0000-0200-000008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200-000009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200-00000A000000}"/>
    <dataValidation allowBlank="1" showInputMessage="1" showErrorMessage="1" prompt="تعقب الغياب في شهر مارس في ورقة العمل هذه" sqref="A1" xr:uid="{00000000-0002-0000-0200-00000B000000}"/>
    <dataValidation allowBlank="1" showInputMessage="1" showErrorMessage="1" prompt="يتم حساب إجمالي عدد أيام غياب موظف هذا الشهر في هذا العمود تلقائياً" sqref="AH6" xr:uid="{00000000-0002-0000-0200-00000C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2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55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TEXT(WEEKDAY(DATE(CalendarYear,4,1),1),"aaa")</f>
        <v>الإثنين</v>
      </c>
      <c r="D5" s="8" t="str">
        <f>TEXT(WEEKDAY(DATE(CalendarYear,4,2),1),"aaa")</f>
        <v>الثلاثاء</v>
      </c>
      <c r="E5" s="8" t="str">
        <f>TEXT(WEEKDAY(DATE(CalendarYear,4,3),1),"aaa")</f>
        <v>الأربعاء</v>
      </c>
      <c r="F5" s="8" t="str">
        <f>TEXT(WEEKDAY(DATE(CalendarYear,4,4),1),"aaa")</f>
        <v>الخميس</v>
      </c>
      <c r="G5" s="8" t="str">
        <f>TEXT(WEEKDAY(DATE(CalendarYear,4,5),1),"aaa")</f>
        <v>الجمعة</v>
      </c>
      <c r="H5" s="8" t="str">
        <f>TEXT(WEEKDAY(DATE(CalendarYear,4,6),1),"aaa")</f>
        <v>السبت</v>
      </c>
      <c r="I5" s="8" t="str">
        <f>TEXT(WEEKDAY(DATE(CalendarYear,4,7),1),"aaa")</f>
        <v>الأحد</v>
      </c>
      <c r="J5" s="8" t="str">
        <f>TEXT(WEEKDAY(DATE(CalendarYear,4,8),1),"aaa")</f>
        <v>الإثنين</v>
      </c>
      <c r="K5" s="8" t="str">
        <f>TEXT(WEEKDAY(DATE(CalendarYear,4,9),1),"aaa")</f>
        <v>الثلاثاء</v>
      </c>
      <c r="L5" s="8" t="str">
        <f>TEXT(WEEKDAY(DATE(CalendarYear,4,10),1),"aaa")</f>
        <v>الأربعاء</v>
      </c>
      <c r="M5" s="8" t="str">
        <f>TEXT(WEEKDAY(DATE(CalendarYear,4,11),1),"aaa")</f>
        <v>الخميس</v>
      </c>
      <c r="N5" s="8" t="str">
        <f>TEXT(WEEKDAY(DATE(CalendarYear,4,12),1),"aaa")</f>
        <v>الجمعة</v>
      </c>
      <c r="O5" s="8" t="str">
        <f>TEXT(WEEKDAY(DATE(CalendarYear,4,13),1),"aaa")</f>
        <v>السبت</v>
      </c>
      <c r="P5" s="8" t="str">
        <f>TEXT(WEEKDAY(DATE(CalendarYear,4,14),1),"aaa")</f>
        <v>الأحد</v>
      </c>
      <c r="Q5" s="8" t="str">
        <f>TEXT(WEEKDAY(DATE(CalendarYear,4,15),1),"aaa")</f>
        <v>الإثنين</v>
      </c>
      <c r="R5" s="8" t="str">
        <f>TEXT(WEEKDAY(DATE(CalendarYear,4,16),1),"aaa")</f>
        <v>الثلاثاء</v>
      </c>
      <c r="S5" s="8" t="str">
        <f>TEXT(WEEKDAY(DATE(CalendarYear,4,17),1),"aaa")</f>
        <v>الأربعاء</v>
      </c>
      <c r="T5" s="8" t="str">
        <f>TEXT(WEEKDAY(DATE(CalendarYear,4,18),1),"aaa")</f>
        <v>الخميس</v>
      </c>
      <c r="U5" s="8" t="str">
        <f>TEXT(WEEKDAY(DATE(CalendarYear,4,19),1),"aaa")</f>
        <v>الجمعة</v>
      </c>
      <c r="V5" s="8" t="str">
        <f>TEXT(WEEKDAY(DATE(CalendarYear,4,20),1),"aaa")</f>
        <v>السبت</v>
      </c>
      <c r="W5" s="8" t="str">
        <f>TEXT(WEEKDAY(DATE(CalendarYear,4,21),1),"aaa")</f>
        <v>الأحد</v>
      </c>
      <c r="X5" s="8" t="str">
        <f>TEXT(WEEKDAY(DATE(CalendarYear,4,22),1),"aaa")</f>
        <v>الإثنين</v>
      </c>
      <c r="Y5" s="8" t="str">
        <f>TEXT(WEEKDAY(DATE(CalendarYear,4,23),1),"aaa")</f>
        <v>الثلاثاء</v>
      </c>
      <c r="Z5" s="8" t="str">
        <f>TEXT(WEEKDAY(DATE(CalendarYear,4,24),1),"aaa")</f>
        <v>الأربعاء</v>
      </c>
      <c r="AA5" s="8" t="str">
        <f>TEXT(WEEKDAY(DATE(CalendarYear,4,25),1),"aaa")</f>
        <v>الخميس</v>
      </c>
      <c r="AB5" s="8" t="str">
        <f>TEXT(WEEKDAY(DATE(CalendarYear,4,26),1),"aaa")</f>
        <v>الجمعة</v>
      </c>
      <c r="AC5" s="8" t="str">
        <f>TEXT(WEEKDAY(DATE(CalendarYear,4,27),1),"aaa")</f>
        <v>السبت</v>
      </c>
      <c r="AD5" s="8" t="str">
        <f>TEXT(WEEKDAY(DATE(CalendarYear,4,28),1),"aaa")</f>
        <v>الأحد</v>
      </c>
      <c r="AE5" s="8" t="str">
        <f>TEXT(WEEKDAY(DATE(CalendarYear,4,29),1),"aaa")</f>
        <v>الإثنين</v>
      </c>
      <c r="AF5" s="8" t="str">
        <f>TEXT(WEEKDAY(DATE(CalendarYear,4,30),1),"aaa")</f>
        <v>الثلاثاء</v>
      </c>
      <c r="AG5" s="8"/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23" t="s">
        <v>52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COUNTA(أبريل[[#This Row],[1]:[30]])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COUNTA(أبريل[[#This Row],[1]:[30]])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COUNTA(أبريل[[#This Row],[1]:[30]])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COUNTA(أبريل[[#This Row],[1]:[30]])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COUNTA(أبريل[[#This Row],[1]:[30]])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أبريل</v>
      </c>
      <c r="C12" s="15">
        <f>SUBTOTAL(103,أبريل[1])</f>
        <v>0</v>
      </c>
      <c r="D12" s="15">
        <f>SUBTOTAL(103,أبريل[2])</f>
        <v>0</v>
      </c>
      <c r="E12" s="15">
        <f>SUBTOTAL(103,أبريل[3])</f>
        <v>0</v>
      </c>
      <c r="F12" s="15">
        <f>SUBTOTAL(103,أبريل[4])</f>
        <v>0</v>
      </c>
      <c r="G12" s="15">
        <f>SUBTOTAL(103,أبريل[5])</f>
        <v>0</v>
      </c>
      <c r="H12" s="15">
        <f>SUBTOTAL(103,أبريل[6])</f>
        <v>0</v>
      </c>
      <c r="I12" s="15">
        <f>SUBTOTAL(103,أبريل[7])</f>
        <v>0</v>
      </c>
      <c r="J12" s="15">
        <f>SUBTOTAL(103,أبريل[8])</f>
        <v>0</v>
      </c>
      <c r="K12" s="15">
        <f>SUBTOTAL(103,أبريل[9])</f>
        <v>0</v>
      </c>
      <c r="L12" s="15">
        <f>SUBTOTAL(103,أبريل[10])</f>
        <v>0</v>
      </c>
      <c r="M12" s="15">
        <f>SUBTOTAL(103,أبريل[11])</f>
        <v>0</v>
      </c>
      <c r="N12" s="15">
        <f>SUBTOTAL(103,أبريل[12])</f>
        <v>0</v>
      </c>
      <c r="O12" s="15">
        <f>SUBTOTAL(103,أبريل[13])</f>
        <v>0</v>
      </c>
      <c r="P12" s="15">
        <f>SUBTOTAL(103,أبريل[14])</f>
        <v>0</v>
      </c>
      <c r="Q12" s="15">
        <f>SUBTOTAL(103,أبريل[15])</f>
        <v>0</v>
      </c>
      <c r="R12" s="15">
        <f>SUBTOTAL(103,أبريل[16])</f>
        <v>0</v>
      </c>
      <c r="S12" s="15">
        <f>SUBTOTAL(103,أبريل[17])</f>
        <v>0</v>
      </c>
      <c r="T12" s="15">
        <f>SUBTOTAL(103,أبريل[18])</f>
        <v>0</v>
      </c>
      <c r="U12" s="15">
        <f>SUBTOTAL(103,أبريل[19])</f>
        <v>0</v>
      </c>
      <c r="V12" s="15">
        <f>SUBTOTAL(103,أبريل[20])</f>
        <v>0</v>
      </c>
      <c r="W12" s="15">
        <f>SUBTOTAL(103,أبريل[21])</f>
        <v>0</v>
      </c>
      <c r="X12" s="15">
        <f>SUBTOTAL(103,أبريل[22])</f>
        <v>0</v>
      </c>
      <c r="Y12" s="15">
        <f>SUBTOTAL(103,أبريل[23])</f>
        <v>0</v>
      </c>
      <c r="Z12" s="15">
        <f>SUBTOTAL(103,أبريل[24])</f>
        <v>0</v>
      </c>
      <c r="AA12" s="15">
        <f>SUBTOTAL(103,أبريل[25])</f>
        <v>0</v>
      </c>
      <c r="AB12" s="15">
        <f>SUBTOTAL(103,أبريل[26])</f>
        <v>0</v>
      </c>
      <c r="AC12" s="15">
        <f>SUBTOTAL(103,أبريل[27])</f>
        <v>0</v>
      </c>
      <c r="AD12" s="15">
        <f>SUBTOTAL(103,أبريل[28])</f>
        <v>0</v>
      </c>
      <c r="AE12" s="15">
        <f>SUBTOTAL(103,أبريل[29])</f>
        <v>0</v>
      </c>
      <c r="AF12" s="15">
        <f>SUBTOTAL(103,أبريل[30])</f>
        <v>0</v>
      </c>
      <c r="AG12" s="15">
        <f>SUBTOTAL(103,أبريل[30])</f>
        <v>0</v>
      </c>
      <c r="AH12" s="15">
        <f>SUBTOTAL(109,أبريل[إجمالي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769" priority="2" stopIfTrue="1">
      <formula>C7=KeyCustom2</formula>
    </cfRule>
    <cfRule type="expression" dxfId="768" priority="3" stopIfTrue="1">
      <formula>C7=KeyCustom1</formula>
    </cfRule>
    <cfRule type="expression" dxfId="767" priority="4" stopIfTrue="1">
      <formula>C7=KeySick</formula>
    </cfRule>
    <cfRule type="expression" dxfId="766" priority="5" stopIfTrue="1">
      <formula>C7=KeyPersonal</formula>
    </cfRule>
    <cfRule type="expression" dxfId="765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سنة محدّثة تلقائياً استناداً إلى السنة التي تم إدخالها في ورقة عمل &quot;يناير&quot;." sqref="AH4" xr:uid="{00000000-0002-0000-0300-000000000000}"/>
    <dataValidation allowBlank="1" showInputMessage="1" showErrorMessage="1" prompt="يتم حساب إجمالي عدد أيام غياب موظف هذا الشهر في هذا العمود تلقائياً" sqref="AH6" xr:uid="{00000000-0002-0000-0300-000001000000}"/>
    <dataValidation allowBlank="1" showInputMessage="1" showErrorMessage="1" prompt="تعقب الغياب في شهر أبريل في ورقة العمل هذه" sqref="A1" xr:uid="{00000000-0002-0000-0300-000002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300-000003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300-000004000000}"/>
    <dataValidation allowBlank="1" showInputMessage="1" showErrorMessage="1" prompt="الحرف &quot;ع&quot; يشير إلى الغياب بسبب قضاء عطلة" sqref="C2" xr:uid="{00000000-0002-0000-0300-000005000000}"/>
    <dataValidation allowBlank="1" showInputMessage="1" showErrorMessage="1" prompt="الحرف &quot;ش&quot; يشير إلى الغياب لأسباب شخصية" sqref="G2" xr:uid="{00000000-0002-0000-0300-000006000000}"/>
    <dataValidation allowBlank="1" showInputMessage="1" showErrorMessage="1" prompt="الحرف &quot;م&quot; يشير إلى الغياب بسبب المرض" sqref="K2" xr:uid="{00000000-0002-0000-0300-000007000000}"/>
    <dataValidation allowBlank="1" showInputMessage="1" showErrorMessage="1" prompt="أدخل حرفاً وخصّص التسمية مباشرة لإضافة عنصر مفتاحي آخر" sqref="N2 R2" xr:uid="{00000000-0002-0000-0300-000008000000}"/>
    <dataValidation allowBlank="1" showInputMessage="1" showErrorMessage="1" prompt="أدخل تسمية لوصف المفتاح المخصص على اليمين" sqref="O2:Q2 S2:U2" xr:uid="{00000000-0002-0000-0300-000009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300-00000A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300-00000B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300-00000C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3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56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TEXT(WEEKDAY(DATE(CalendarYear,5,1),1),"aaa")</f>
        <v>الأربعاء</v>
      </c>
      <c r="D5" s="8" t="str">
        <f>TEXT(WEEKDAY(DATE(CalendarYear,5,2),1),"aaa")</f>
        <v>الخميس</v>
      </c>
      <c r="E5" s="8" t="str">
        <f>TEXT(WEEKDAY(DATE(CalendarYear,5,3),1),"aaa")</f>
        <v>الجمعة</v>
      </c>
      <c r="F5" s="8" t="str">
        <f>TEXT(WEEKDAY(DATE(CalendarYear,5,4),1),"aaa")</f>
        <v>السبت</v>
      </c>
      <c r="G5" s="8" t="str">
        <f>TEXT(WEEKDAY(DATE(CalendarYear,5,5),1),"aaa")</f>
        <v>الأحد</v>
      </c>
      <c r="H5" s="8" t="str">
        <f>TEXT(WEEKDAY(DATE(CalendarYear,5,6),1),"aaa")</f>
        <v>الإثنين</v>
      </c>
      <c r="I5" s="8" t="str">
        <f>TEXT(WEEKDAY(DATE(CalendarYear,5,7),1),"aaa")</f>
        <v>الثلاثاء</v>
      </c>
      <c r="J5" s="8" t="str">
        <f>TEXT(WEEKDAY(DATE(CalendarYear,5,8),1),"aaa")</f>
        <v>الأربعاء</v>
      </c>
      <c r="K5" s="8" t="str">
        <f>TEXT(WEEKDAY(DATE(CalendarYear,5,9),1),"aaa")</f>
        <v>الخميس</v>
      </c>
      <c r="L5" s="8" t="str">
        <f>TEXT(WEEKDAY(DATE(CalendarYear,5,10),1),"aaa")</f>
        <v>الجمعة</v>
      </c>
      <c r="M5" s="8" t="str">
        <f>TEXT(WEEKDAY(DATE(CalendarYear,5,11),1),"aaa")</f>
        <v>السبت</v>
      </c>
      <c r="N5" s="8" t="str">
        <f>TEXT(WEEKDAY(DATE(CalendarYear,5,12),1),"aaa")</f>
        <v>الأحد</v>
      </c>
      <c r="O5" s="8" t="str">
        <f>TEXT(WEEKDAY(DATE(CalendarYear,5,13),1),"aaa")</f>
        <v>الإثنين</v>
      </c>
      <c r="P5" s="8" t="str">
        <f>TEXT(WEEKDAY(DATE(CalendarYear,5,14),1),"aaa")</f>
        <v>الثلاثاء</v>
      </c>
      <c r="Q5" s="8" t="str">
        <f>TEXT(WEEKDAY(DATE(CalendarYear,5,15),1),"aaa")</f>
        <v>الأربعاء</v>
      </c>
      <c r="R5" s="8" t="str">
        <f>TEXT(WEEKDAY(DATE(CalendarYear,5,16),1),"aaa")</f>
        <v>الخميس</v>
      </c>
      <c r="S5" s="8" t="str">
        <f>TEXT(WEEKDAY(DATE(CalendarYear,5,17),1),"aaa")</f>
        <v>الجمعة</v>
      </c>
      <c r="T5" s="8" t="str">
        <f>TEXT(WEEKDAY(DATE(CalendarYear,5,18),1),"aaa")</f>
        <v>السبت</v>
      </c>
      <c r="U5" s="8" t="str">
        <f>TEXT(WEEKDAY(DATE(CalendarYear,5,19),1),"aaa")</f>
        <v>الأحد</v>
      </c>
      <c r="V5" s="8" t="str">
        <f>TEXT(WEEKDAY(DATE(CalendarYear,5,20),1),"aaa")</f>
        <v>الإثنين</v>
      </c>
      <c r="W5" s="8" t="str">
        <f>TEXT(WEEKDAY(DATE(CalendarYear,5,21),1),"aaa")</f>
        <v>الثلاثاء</v>
      </c>
      <c r="X5" s="8" t="str">
        <f>TEXT(WEEKDAY(DATE(CalendarYear,5,22),1),"aaa")</f>
        <v>الأربعاء</v>
      </c>
      <c r="Y5" s="8" t="str">
        <f>TEXT(WEEKDAY(DATE(CalendarYear,5,23),1),"aaa")</f>
        <v>الخميس</v>
      </c>
      <c r="Z5" s="8" t="str">
        <f>TEXT(WEEKDAY(DATE(CalendarYear,5,24),1),"aaa")</f>
        <v>الجمعة</v>
      </c>
      <c r="AA5" s="8" t="str">
        <f>TEXT(WEEKDAY(DATE(CalendarYear,5,25),1),"aaa")</f>
        <v>السبت</v>
      </c>
      <c r="AB5" s="8" t="str">
        <f>TEXT(WEEKDAY(DATE(CalendarYear,5,26),1),"aaa")</f>
        <v>الأحد</v>
      </c>
      <c r="AC5" s="8" t="str">
        <f>TEXT(WEEKDAY(DATE(CalendarYear,5,27),1),"aaa")</f>
        <v>الإثنين</v>
      </c>
      <c r="AD5" s="8" t="str">
        <f>TEXT(WEEKDAY(DATE(CalendarYear,5,28),1),"aaa")</f>
        <v>الثلاثاء</v>
      </c>
      <c r="AE5" s="8" t="str">
        <f>TEXT(WEEKDAY(DATE(CalendarYear,5,29),1),"aaa")</f>
        <v>الأربعاء</v>
      </c>
      <c r="AF5" s="8" t="str">
        <f>TEXT(WEEKDAY(DATE(CalendarYear,5,30),1),"aaa")</f>
        <v>الخميس</v>
      </c>
      <c r="AG5" s="8" t="str">
        <f>TEXT(WEEKDAY(DATE(CalendarYear,5,31),1),"aaa")</f>
        <v>الجمعة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COUNTA(مايو[[#This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COUNTA(مايو[[#This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COUNTA(مايو[[#This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COUNTA(مايو[[#This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COUNTA(مايو[[#This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مايو</v>
      </c>
      <c r="C12" s="15">
        <f>SUBTOTAL(103,مايو[1])</f>
        <v>0</v>
      </c>
      <c r="D12" s="15">
        <f>SUBTOTAL(103,مايو[2])</f>
        <v>0</v>
      </c>
      <c r="E12" s="15">
        <f>SUBTOTAL(103,مايو[3])</f>
        <v>0</v>
      </c>
      <c r="F12" s="15">
        <f>SUBTOTAL(103,مايو[4])</f>
        <v>0</v>
      </c>
      <c r="G12" s="15">
        <f>SUBTOTAL(103,مايو[5])</f>
        <v>0</v>
      </c>
      <c r="H12" s="15">
        <f>SUBTOTAL(103,مايو[6])</f>
        <v>0</v>
      </c>
      <c r="I12" s="15">
        <f>SUBTOTAL(103,مايو[7])</f>
        <v>0</v>
      </c>
      <c r="J12" s="15">
        <f>SUBTOTAL(103,مايو[8])</f>
        <v>0</v>
      </c>
      <c r="K12" s="15">
        <f>SUBTOTAL(103,مايو[9])</f>
        <v>0</v>
      </c>
      <c r="L12" s="15">
        <f>SUBTOTAL(103,مايو[10])</f>
        <v>0</v>
      </c>
      <c r="M12" s="15">
        <f>SUBTOTAL(103,مايو[11])</f>
        <v>0</v>
      </c>
      <c r="N12" s="15">
        <f>SUBTOTAL(103,مايو[12])</f>
        <v>0</v>
      </c>
      <c r="O12" s="15">
        <f>SUBTOTAL(103,مايو[13])</f>
        <v>0</v>
      </c>
      <c r="P12" s="15">
        <f>SUBTOTAL(103,مايو[14])</f>
        <v>0</v>
      </c>
      <c r="Q12" s="15">
        <f>SUBTOTAL(103,مايو[15])</f>
        <v>0</v>
      </c>
      <c r="R12" s="15">
        <f>SUBTOTAL(103,مايو[16])</f>
        <v>0</v>
      </c>
      <c r="S12" s="15">
        <f>SUBTOTAL(103,مايو[17])</f>
        <v>0</v>
      </c>
      <c r="T12" s="15">
        <f>SUBTOTAL(103,مايو[18])</f>
        <v>0</v>
      </c>
      <c r="U12" s="15">
        <f>SUBTOTAL(103,مايو[19])</f>
        <v>0</v>
      </c>
      <c r="V12" s="15">
        <f>SUBTOTAL(103,مايو[20])</f>
        <v>0</v>
      </c>
      <c r="W12" s="15">
        <f>SUBTOTAL(103,مايو[21])</f>
        <v>0</v>
      </c>
      <c r="X12" s="15">
        <f>SUBTOTAL(103,مايو[22])</f>
        <v>0</v>
      </c>
      <c r="Y12" s="15">
        <f>SUBTOTAL(103,مايو[23])</f>
        <v>0</v>
      </c>
      <c r="Z12" s="15">
        <f>SUBTOTAL(103,مايو[24])</f>
        <v>0</v>
      </c>
      <c r="AA12" s="15">
        <f>SUBTOTAL(103,مايو[25])</f>
        <v>0</v>
      </c>
      <c r="AB12" s="15">
        <f>SUBTOTAL(103,مايو[26])</f>
        <v>0</v>
      </c>
      <c r="AC12" s="15">
        <f>SUBTOTAL(103,مايو[27])</f>
        <v>0</v>
      </c>
      <c r="AD12" s="15">
        <f>SUBTOTAL(103,مايو[28])</f>
        <v>0</v>
      </c>
      <c r="AE12" s="15">
        <f>SUBTOTAL(103,مايو[29])</f>
        <v>0</v>
      </c>
      <c r="AF12" s="15">
        <f>SUBTOTAL(103,مايو[30])</f>
        <v>0</v>
      </c>
      <c r="AG12" s="15">
        <f>SUBTOTAL(103,مايو[31])</f>
        <v>0</v>
      </c>
      <c r="AH12" s="15">
        <f>SUBTOTAL(109,مايو[إجمالي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728" priority="2" stopIfTrue="1">
      <formula>C7=KeyCustom2</formula>
    </cfRule>
    <cfRule type="expression" dxfId="727" priority="3" stopIfTrue="1">
      <formula>C7=KeyCustom1</formula>
    </cfRule>
    <cfRule type="expression" dxfId="726" priority="4" stopIfTrue="1">
      <formula>C7=KeySick</formula>
    </cfRule>
    <cfRule type="expression" dxfId="725" priority="5" stopIfTrue="1">
      <formula>C7=KeyPersonal</formula>
    </cfRule>
    <cfRule type="expression" dxfId="72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400-000000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400-000001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400-000002000000}"/>
    <dataValidation allowBlank="1" showInputMessage="1" showErrorMessage="1" prompt="أدخل تسمية لوصف المفتاح المخصص على اليمين" sqref="O2:Q2 S2:U2" xr:uid="{00000000-0002-0000-0400-000003000000}"/>
    <dataValidation allowBlank="1" showInputMessage="1" showErrorMessage="1" prompt="أدخل حرفاً وخصّص التسمية مباشرة لإضافة عنصر مفتاحي آخر" sqref="N2 R2" xr:uid="{00000000-0002-0000-0400-000004000000}"/>
    <dataValidation allowBlank="1" showInputMessage="1" showErrorMessage="1" prompt="الحرف &quot;م&quot; يشير إلى الغياب بسبب المرض" sqref="K2" xr:uid="{00000000-0002-0000-0400-000005000000}"/>
    <dataValidation allowBlank="1" showInputMessage="1" showErrorMessage="1" prompt="الحرف &quot;ش&quot; يشير إلى الغياب لأسباب شخصية" sqref="G2" xr:uid="{00000000-0002-0000-0400-000006000000}"/>
    <dataValidation allowBlank="1" showInputMessage="1" showErrorMessage="1" prompt="الحرف &quot;ع&quot; يشير إلى الغياب بسبب قضاء عطلة" sqref="C2" xr:uid="{00000000-0002-0000-0400-000007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400-000008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400-000009000000}"/>
    <dataValidation allowBlank="1" showInputMessage="1" showErrorMessage="1" prompt="تعقب الغياب في شهر مايو في ورقة العمل هذه" sqref="A1" xr:uid="{00000000-0002-0000-0400-00000A000000}"/>
    <dataValidation allowBlank="1" showInputMessage="1" showErrorMessage="1" prompt="يتم حساب إجمالي عدد أيام غياب موظف هذا الشهر في هذا العمود تلقائياً" sqref="AH6" xr:uid="{00000000-0002-0000-0400-00000B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400-00000C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4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57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TEXT(WEEKDAY(DATE(CalendarYear,6,1),1),"aaa")</f>
        <v>السبت</v>
      </c>
      <c r="D5" s="8" t="str">
        <f>TEXT(WEEKDAY(DATE(CalendarYear,6,2),1),"aaa")</f>
        <v>الأحد</v>
      </c>
      <c r="E5" s="8" t="str">
        <f>TEXT(WEEKDAY(DATE(CalendarYear,6,3),1),"aaa")</f>
        <v>الإثنين</v>
      </c>
      <c r="F5" s="8" t="str">
        <f>TEXT(WEEKDAY(DATE(CalendarYear,6,4),1),"aaa")</f>
        <v>الثلاثاء</v>
      </c>
      <c r="G5" s="8" t="str">
        <f>TEXT(WEEKDAY(DATE(CalendarYear,6,5),1),"aaa")</f>
        <v>الأربعاء</v>
      </c>
      <c r="H5" s="8" t="str">
        <f>TEXT(WEEKDAY(DATE(CalendarYear,6,6),1),"aaa")</f>
        <v>الخميس</v>
      </c>
      <c r="I5" s="8" t="str">
        <f>TEXT(WEEKDAY(DATE(CalendarYear,6,7),1),"aaa")</f>
        <v>الجمعة</v>
      </c>
      <c r="J5" s="8" t="str">
        <f>TEXT(WEEKDAY(DATE(CalendarYear,6,8),1),"aaa")</f>
        <v>السبت</v>
      </c>
      <c r="K5" s="8" t="str">
        <f>TEXT(WEEKDAY(DATE(CalendarYear,6,9),1),"aaa")</f>
        <v>الأحد</v>
      </c>
      <c r="L5" s="8" t="str">
        <f>TEXT(WEEKDAY(DATE(CalendarYear,6,10),1),"aaa")</f>
        <v>الإثنين</v>
      </c>
      <c r="M5" s="8" t="str">
        <f>TEXT(WEEKDAY(DATE(CalendarYear,6,11),1),"aaa")</f>
        <v>الثلاثاء</v>
      </c>
      <c r="N5" s="8" t="str">
        <f>TEXT(WEEKDAY(DATE(CalendarYear,6,12),1),"aaa")</f>
        <v>الأربعاء</v>
      </c>
      <c r="O5" s="8" t="str">
        <f>TEXT(WEEKDAY(DATE(CalendarYear,6,13),1),"aaa")</f>
        <v>الخميس</v>
      </c>
      <c r="P5" s="8" t="str">
        <f>TEXT(WEEKDAY(DATE(CalendarYear,6,14),1),"aaa")</f>
        <v>الجمعة</v>
      </c>
      <c r="Q5" s="8" t="str">
        <f>TEXT(WEEKDAY(DATE(CalendarYear,6,15),1),"aaa")</f>
        <v>السبت</v>
      </c>
      <c r="R5" s="8" t="str">
        <f>TEXT(WEEKDAY(DATE(CalendarYear,6,16),1),"aaa")</f>
        <v>الأحد</v>
      </c>
      <c r="S5" s="8" t="str">
        <f>TEXT(WEEKDAY(DATE(CalendarYear,6,17),1),"aaa")</f>
        <v>الإثنين</v>
      </c>
      <c r="T5" s="8" t="str">
        <f>TEXT(WEEKDAY(DATE(CalendarYear,6,18),1),"aaa")</f>
        <v>الثلاثاء</v>
      </c>
      <c r="U5" s="8" t="str">
        <f>TEXT(WEEKDAY(DATE(CalendarYear,6,19),1),"aaa")</f>
        <v>الأربعاء</v>
      </c>
      <c r="V5" s="8" t="str">
        <f>TEXT(WEEKDAY(DATE(CalendarYear,6,20),1),"aaa")</f>
        <v>الخميس</v>
      </c>
      <c r="W5" s="8" t="str">
        <f>TEXT(WEEKDAY(DATE(CalendarYear,6,21),1),"aaa")</f>
        <v>الجمعة</v>
      </c>
      <c r="X5" s="8" t="str">
        <f>TEXT(WEEKDAY(DATE(CalendarYear,6,22),1),"aaa")</f>
        <v>السبت</v>
      </c>
      <c r="Y5" s="8" t="str">
        <f>TEXT(WEEKDAY(DATE(CalendarYear,6,23),1),"aaa")</f>
        <v>الأحد</v>
      </c>
      <c r="Z5" s="8" t="str">
        <f>TEXT(WEEKDAY(DATE(CalendarYear,6,24),1),"aaa")</f>
        <v>الإثنين</v>
      </c>
      <c r="AA5" s="8" t="str">
        <f>TEXT(WEEKDAY(DATE(CalendarYear,6,25),1),"aaa")</f>
        <v>الثلاثاء</v>
      </c>
      <c r="AB5" s="8" t="str">
        <f>TEXT(WEEKDAY(DATE(CalendarYear,6,26),1),"aaa")</f>
        <v>الأربعاء</v>
      </c>
      <c r="AC5" s="8" t="str">
        <f>TEXT(WEEKDAY(DATE(CalendarYear,6,27),1),"aaa")</f>
        <v>الخميس</v>
      </c>
      <c r="AD5" s="8" t="str">
        <f>TEXT(WEEKDAY(DATE(CalendarYear,6,28),1),"aaa")</f>
        <v>الجمعة</v>
      </c>
      <c r="AE5" s="8" t="str">
        <f>TEXT(WEEKDAY(DATE(CalendarYear,6,29),1),"aaa")</f>
        <v>السبت</v>
      </c>
      <c r="AF5" s="8" t="str">
        <f>TEXT(WEEKDAY(DATE(CalendarYear,6,30),1),"aaa")</f>
        <v>الأحد</v>
      </c>
      <c r="AG5" s="8"/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52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COUNTA(يونيو[[#This Row],[1]:[30]])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COUNTA(يونيو[[#This Row],[1]:[30]])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COUNTA(يونيو[[#This Row],[1]:[30]])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COUNTA(يونيو[[#This Row],[1]:[30]])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COUNTA(يونيو[[#This Row],[1]:[30]])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يونيو</v>
      </c>
      <c r="C12" s="15">
        <f>SUBTOTAL(103,يونيو[1])</f>
        <v>0</v>
      </c>
      <c r="D12" s="15">
        <f>SUBTOTAL(103,يونيو[2])</f>
        <v>0</v>
      </c>
      <c r="E12" s="15">
        <f>SUBTOTAL(103,يونيو[3])</f>
        <v>0</v>
      </c>
      <c r="F12" s="15">
        <f>SUBTOTAL(103,يونيو[4])</f>
        <v>0</v>
      </c>
      <c r="G12" s="15">
        <f>SUBTOTAL(103,يونيو[5])</f>
        <v>0</v>
      </c>
      <c r="H12" s="15">
        <f>SUBTOTAL(103,يونيو[6])</f>
        <v>0</v>
      </c>
      <c r="I12" s="15">
        <f>SUBTOTAL(103,يونيو[7])</f>
        <v>0</v>
      </c>
      <c r="J12" s="15">
        <f>SUBTOTAL(103,يونيو[8])</f>
        <v>0</v>
      </c>
      <c r="K12" s="15">
        <f>SUBTOTAL(103,يونيو[9])</f>
        <v>0</v>
      </c>
      <c r="L12" s="15">
        <f>SUBTOTAL(103,يونيو[10])</f>
        <v>0</v>
      </c>
      <c r="M12" s="15">
        <f>SUBTOTAL(103,يونيو[11])</f>
        <v>0</v>
      </c>
      <c r="N12" s="15">
        <f>SUBTOTAL(103,يونيو[12])</f>
        <v>0</v>
      </c>
      <c r="O12" s="15">
        <f>SUBTOTAL(103,يونيو[13])</f>
        <v>0</v>
      </c>
      <c r="P12" s="15">
        <f>SUBTOTAL(103,يونيو[14])</f>
        <v>0</v>
      </c>
      <c r="Q12" s="15">
        <f>SUBTOTAL(103,يونيو[15])</f>
        <v>0</v>
      </c>
      <c r="R12" s="15">
        <f>SUBTOTAL(103,يونيو[16])</f>
        <v>0</v>
      </c>
      <c r="S12" s="15">
        <f>SUBTOTAL(103,يونيو[17])</f>
        <v>0</v>
      </c>
      <c r="T12" s="15">
        <f>SUBTOTAL(103,يونيو[18])</f>
        <v>0</v>
      </c>
      <c r="U12" s="15">
        <f>SUBTOTAL(103,يونيو[19])</f>
        <v>0</v>
      </c>
      <c r="V12" s="15">
        <f>SUBTOTAL(103,يونيو[20])</f>
        <v>0</v>
      </c>
      <c r="W12" s="15">
        <f>SUBTOTAL(103,يونيو[21])</f>
        <v>0</v>
      </c>
      <c r="X12" s="15">
        <f>SUBTOTAL(103,يونيو[22])</f>
        <v>0</v>
      </c>
      <c r="Y12" s="15">
        <f>SUBTOTAL(103,يونيو[23])</f>
        <v>0</v>
      </c>
      <c r="Z12" s="15">
        <f>SUBTOTAL(103,يونيو[24])</f>
        <v>0</v>
      </c>
      <c r="AA12" s="15">
        <f>SUBTOTAL(103,يونيو[25])</f>
        <v>0</v>
      </c>
      <c r="AB12" s="15">
        <f>SUBTOTAL(103,يونيو[26])</f>
        <v>0</v>
      </c>
      <c r="AC12" s="15">
        <f>SUBTOTAL(103,يونيو[27])</f>
        <v>0</v>
      </c>
      <c r="AD12" s="15">
        <f>SUBTOTAL(103,يونيو[28])</f>
        <v>0</v>
      </c>
      <c r="AE12" s="15">
        <f>SUBTOTAL(103,يونيو[29])</f>
        <v>0</v>
      </c>
      <c r="AF12" s="15">
        <f>SUBTOTAL(103,يونيو[30])</f>
        <v>0</v>
      </c>
      <c r="AG12" s="15">
        <f>SUBTOTAL(103,يونيو[[ ]])</f>
        <v>0</v>
      </c>
      <c r="AH12" s="15">
        <f>SUBTOTAL(109,يونيو[إجمالي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87" priority="2" stopIfTrue="1">
      <formula>C7=KeyCustom2</formula>
    </cfRule>
    <cfRule type="expression" dxfId="686" priority="3" stopIfTrue="1">
      <formula>C7=KeyCustom1</formula>
    </cfRule>
    <cfRule type="expression" dxfId="685" priority="4" stopIfTrue="1">
      <formula>C7=KeySick</formula>
    </cfRule>
    <cfRule type="expression" dxfId="684" priority="5" stopIfTrue="1">
      <formula>C7=KeyPersonal</formula>
    </cfRule>
    <cfRule type="expression" dxfId="683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500-000000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500-000001000000}"/>
    <dataValidation allowBlank="1" showInputMessage="1" showErrorMessage="1" prompt="يتم حساب إجمالي عدد أيام غياب موظف هذا الشهر في هذا العمود تلقائياً" sqref="AH6" xr:uid="{00000000-0002-0000-0500-000002000000}"/>
    <dataValidation allowBlank="1" showInputMessage="1" showErrorMessage="1" prompt="تعقب الغياب في شهر يونيو في ورقة العمل هذه" sqref="A1" xr:uid="{00000000-0002-0000-0500-000003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500-000004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500-000005000000}"/>
    <dataValidation allowBlank="1" showInputMessage="1" showErrorMessage="1" prompt="الحرف &quot;ع&quot; يشير إلى الغياب بسبب قضاء عطلة" sqref="C2" xr:uid="{00000000-0002-0000-0500-000006000000}"/>
    <dataValidation allowBlank="1" showInputMessage="1" showErrorMessage="1" prompt="الحرف &quot;ش&quot; يشير إلى الغياب لأسباب شخصية" sqref="G2" xr:uid="{00000000-0002-0000-0500-000007000000}"/>
    <dataValidation allowBlank="1" showInputMessage="1" showErrorMessage="1" prompt="الحرف &quot;م&quot; يشير إلى الغياب بسبب المرض" sqref="K2" xr:uid="{00000000-0002-0000-0500-000008000000}"/>
    <dataValidation allowBlank="1" showInputMessage="1" showErrorMessage="1" prompt="أدخل حرفاً وخصّص التسمية مباشرة لإضافة عنصر مفتاحي آخر" sqref="N2 R2" xr:uid="{00000000-0002-0000-0500-000009000000}"/>
    <dataValidation allowBlank="1" showInputMessage="1" showErrorMessage="1" prompt="أدخل تسمية لوصف المفتاح المخصص على اليمين" sqref="O2:Q2 S2:U2" xr:uid="{00000000-0002-0000-0500-00000A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500-00000B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500-00000C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5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58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TEXT(WEEKDAY(DATE(CalendarYear,7,1),1),"aaa")</f>
        <v>الإثنين</v>
      </c>
      <c r="D5" s="8" t="str">
        <f>TEXT(WEEKDAY(DATE(CalendarYear,7,2),1),"aaa")</f>
        <v>الثلاثاء</v>
      </c>
      <c r="E5" s="8" t="str">
        <f>TEXT(WEEKDAY(DATE(CalendarYear,7,3),1),"aaa")</f>
        <v>الأربعاء</v>
      </c>
      <c r="F5" s="8" t="str">
        <f>TEXT(WEEKDAY(DATE(CalendarYear,7,4),1),"aaa")</f>
        <v>الخميس</v>
      </c>
      <c r="G5" s="8" t="str">
        <f>TEXT(WEEKDAY(DATE(CalendarYear,7,5),1),"aaa")</f>
        <v>الجمعة</v>
      </c>
      <c r="H5" s="8" t="str">
        <f>TEXT(WEEKDAY(DATE(CalendarYear,7,6),1),"aaa")</f>
        <v>السبت</v>
      </c>
      <c r="I5" s="8" t="str">
        <f>TEXT(WEEKDAY(DATE(CalendarYear,7,7),1),"aaa")</f>
        <v>الأحد</v>
      </c>
      <c r="J5" s="8" t="str">
        <f>TEXT(WEEKDAY(DATE(CalendarYear,7,8),1),"aaa")</f>
        <v>الإثنين</v>
      </c>
      <c r="K5" s="8" t="str">
        <f>TEXT(WEEKDAY(DATE(CalendarYear,7,9),1),"aaa")</f>
        <v>الثلاثاء</v>
      </c>
      <c r="L5" s="8" t="str">
        <f>TEXT(WEEKDAY(DATE(CalendarYear,7,10),1),"aaa")</f>
        <v>الأربعاء</v>
      </c>
      <c r="M5" s="8" t="str">
        <f>TEXT(WEEKDAY(DATE(CalendarYear,7,11),1),"aaa")</f>
        <v>الخميس</v>
      </c>
      <c r="N5" s="8" t="str">
        <f>TEXT(WEEKDAY(DATE(CalendarYear,7,12),1),"aaa")</f>
        <v>الجمعة</v>
      </c>
      <c r="O5" s="8" t="str">
        <f>TEXT(WEEKDAY(DATE(CalendarYear,7,13),1),"aaa")</f>
        <v>السبت</v>
      </c>
      <c r="P5" s="8" t="str">
        <f>TEXT(WEEKDAY(DATE(CalendarYear,7,14),1),"aaa")</f>
        <v>الأحد</v>
      </c>
      <c r="Q5" s="8" t="str">
        <f>TEXT(WEEKDAY(DATE(CalendarYear,7,15),1),"aaa")</f>
        <v>الإثنين</v>
      </c>
      <c r="R5" s="8" t="str">
        <f>TEXT(WEEKDAY(DATE(CalendarYear,7,16),1),"aaa")</f>
        <v>الثلاثاء</v>
      </c>
      <c r="S5" s="8" t="str">
        <f>TEXT(WEEKDAY(DATE(CalendarYear,7,17),1),"aaa")</f>
        <v>الأربعاء</v>
      </c>
      <c r="T5" s="8" t="str">
        <f>TEXT(WEEKDAY(DATE(CalendarYear,7,18),1),"aaa")</f>
        <v>الخميس</v>
      </c>
      <c r="U5" s="8" t="str">
        <f>TEXT(WEEKDAY(DATE(CalendarYear,7,19),1),"aaa")</f>
        <v>الجمعة</v>
      </c>
      <c r="V5" s="8" t="str">
        <f>TEXT(WEEKDAY(DATE(CalendarYear,7,20),1),"aaa")</f>
        <v>السبت</v>
      </c>
      <c r="W5" s="8" t="str">
        <f>TEXT(WEEKDAY(DATE(CalendarYear,7,21),1),"aaa")</f>
        <v>الأحد</v>
      </c>
      <c r="X5" s="8" t="str">
        <f>TEXT(WEEKDAY(DATE(CalendarYear,7,22),1),"aaa")</f>
        <v>الإثنين</v>
      </c>
      <c r="Y5" s="8" t="str">
        <f>TEXT(WEEKDAY(DATE(CalendarYear,7,23),1),"aaa")</f>
        <v>الثلاثاء</v>
      </c>
      <c r="Z5" s="8" t="str">
        <f>TEXT(WEEKDAY(DATE(CalendarYear,7,24),1),"aaa")</f>
        <v>الأربعاء</v>
      </c>
      <c r="AA5" s="8" t="str">
        <f>TEXT(WEEKDAY(DATE(CalendarYear,7,25),1),"aaa")</f>
        <v>الخميس</v>
      </c>
      <c r="AB5" s="8" t="str">
        <f>TEXT(WEEKDAY(DATE(CalendarYear,7,26),1),"aaa")</f>
        <v>الجمعة</v>
      </c>
      <c r="AC5" s="8" t="str">
        <f>TEXT(WEEKDAY(DATE(CalendarYear,7,27),1),"aaa")</f>
        <v>السبت</v>
      </c>
      <c r="AD5" s="8" t="str">
        <f>TEXT(WEEKDAY(DATE(CalendarYear,7,28),1),"aaa")</f>
        <v>الأحد</v>
      </c>
      <c r="AE5" s="8" t="str">
        <f>TEXT(WEEKDAY(DATE(CalendarYear,7,29),1),"aaa")</f>
        <v>الإثنين</v>
      </c>
      <c r="AF5" s="8" t="str">
        <f>TEXT(WEEKDAY(DATE(CalendarYear,7,30),1),"aaa")</f>
        <v>الثلاثاء</v>
      </c>
      <c r="AG5" s="8" t="str">
        <f>TEXT(WEEKDAY(DATE(CalendarYear,7,31),1),"aaa")</f>
        <v>الأربعاء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COUNTA(يوليو[[#This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COUNTA(يوليو[[#This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COUNTA(يوليو[[#This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COUNTA(يوليو[[#This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COUNTA(يوليو[[#This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يوليو</v>
      </c>
      <c r="C12" s="15">
        <f>SUBTOTAL(103,يوليو[1])</f>
        <v>0</v>
      </c>
      <c r="D12" s="15">
        <f>SUBTOTAL(103,يوليو[2])</f>
        <v>0</v>
      </c>
      <c r="E12" s="15">
        <f>SUBTOTAL(103,يوليو[3])</f>
        <v>0</v>
      </c>
      <c r="F12" s="15">
        <f>SUBTOTAL(103,يوليو[4])</f>
        <v>0</v>
      </c>
      <c r="G12" s="15">
        <f>SUBTOTAL(103,يوليو[5])</f>
        <v>0</v>
      </c>
      <c r="H12" s="15">
        <f>SUBTOTAL(103,يوليو[6])</f>
        <v>0</v>
      </c>
      <c r="I12" s="15">
        <f>SUBTOTAL(103,يوليو[7])</f>
        <v>0</v>
      </c>
      <c r="J12" s="15">
        <f>SUBTOTAL(103,يوليو[8])</f>
        <v>0</v>
      </c>
      <c r="K12" s="15">
        <f>SUBTOTAL(103,يوليو[9])</f>
        <v>0</v>
      </c>
      <c r="L12" s="15">
        <f>SUBTOTAL(103,يوليو[10])</f>
        <v>0</v>
      </c>
      <c r="M12" s="15">
        <f>SUBTOTAL(103,يوليو[11])</f>
        <v>0</v>
      </c>
      <c r="N12" s="15">
        <f>SUBTOTAL(103,يوليو[12])</f>
        <v>0</v>
      </c>
      <c r="O12" s="15">
        <f>SUBTOTAL(103,يوليو[13])</f>
        <v>0</v>
      </c>
      <c r="P12" s="15">
        <f>SUBTOTAL(103,يوليو[14])</f>
        <v>0</v>
      </c>
      <c r="Q12" s="15">
        <f>SUBTOTAL(103,يوليو[15])</f>
        <v>0</v>
      </c>
      <c r="R12" s="15">
        <f>SUBTOTAL(103,يوليو[16])</f>
        <v>0</v>
      </c>
      <c r="S12" s="15">
        <f>SUBTOTAL(103,يوليو[17])</f>
        <v>0</v>
      </c>
      <c r="T12" s="15">
        <f>SUBTOTAL(103,يوليو[18])</f>
        <v>0</v>
      </c>
      <c r="U12" s="15">
        <f>SUBTOTAL(103,يوليو[19])</f>
        <v>0</v>
      </c>
      <c r="V12" s="15">
        <f>SUBTOTAL(103,يوليو[20])</f>
        <v>0</v>
      </c>
      <c r="W12" s="15">
        <f>SUBTOTAL(103,يوليو[21])</f>
        <v>0</v>
      </c>
      <c r="X12" s="15">
        <f>SUBTOTAL(103,يوليو[22])</f>
        <v>0</v>
      </c>
      <c r="Y12" s="15">
        <f>SUBTOTAL(103,يوليو[23])</f>
        <v>0</v>
      </c>
      <c r="Z12" s="15">
        <f>SUBTOTAL(103,يوليو[24])</f>
        <v>0</v>
      </c>
      <c r="AA12" s="15">
        <f>SUBTOTAL(103,يوليو[25])</f>
        <v>0</v>
      </c>
      <c r="AB12" s="15">
        <f>SUBTOTAL(103,يوليو[26])</f>
        <v>0</v>
      </c>
      <c r="AC12" s="15">
        <f>SUBTOTAL(103,يوليو[27])</f>
        <v>0</v>
      </c>
      <c r="AD12" s="15">
        <f>SUBTOTAL(103,يوليو[28])</f>
        <v>0</v>
      </c>
      <c r="AE12" s="15">
        <f>SUBTOTAL(103,يوليو[29])</f>
        <v>0</v>
      </c>
      <c r="AF12" s="15">
        <f>SUBTOTAL(103,يوليو[30])</f>
        <v>0</v>
      </c>
      <c r="AG12" s="15">
        <f>SUBTOTAL(103,يوليو[31])</f>
        <v>0</v>
      </c>
      <c r="AH12" s="15">
        <f>SUBTOTAL(109,يوليو[إجمالي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46" priority="2" stopIfTrue="1">
      <formula>C7=KeyCustom2</formula>
    </cfRule>
    <cfRule type="expression" dxfId="645" priority="3" stopIfTrue="1">
      <formula>C7=KeyCustom1</formula>
    </cfRule>
    <cfRule type="expression" dxfId="644" priority="4" stopIfTrue="1">
      <formula>C7=KeySick</formula>
    </cfRule>
    <cfRule type="expression" dxfId="643" priority="5" stopIfTrue="1">
      <formula>C7=KeyPersonal</formula>
    </cfRule>
    <cfRule type="expression" dxfId="642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600-000000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600-000001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600-000002000000}"/>
    <dataValidation allowBlank="1" showInputMessage="1" showErrorMessage="1" prompt="أدخل تسمية لوصف المفتاح المخصص على اليمين" sqref="O2:Q2 S2:U2" xr:uid="{00000000-0002-0000-0600-000003000000}"/>
    <dataValidation allowBlank="1" showInputMessage="1" showErrorMessage="1" prompt="أدخل حرفاً وخصّص التسمية مباشرة لإضافة عنصر مفتاحي آخر" sqref="N2 R2" xr:uid="{00000000-0002-0000-0600-000004000000}"/>
    <dataValidation allowBlank="1" showInputMessage="1" showErrorMessage="1" prompt="الحرف &quot;م&quot; يشير إلى الغياب بسبب المرض" sqref="K2" xr:uid="{00000000-0002-0000-0600-000005000000}"/>
    <dataValidation allowBlank="1" showInputMessage="1" showErrorMessage="1" prompt="الحرف &quot;ش&quot; يشير إلى الغياب لأسباب شخصية" sqref="G2" xr:uid="{00000000-0002-0000-0600-000006000000}"/>
    <dataValidation allowBlank="1" showInputMessage="1" showErrorMessage="1" prompt="الحرف &quot;ع&quot; يشير إلى الغياب بسبب قضاء عطلة" sqref="C2" xr:uid="{00000000-0002-0000-0600-000007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600-000008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600-000009000000}"/>
    <dataValidation allowBlank="1" showInputMessage="1" showErrorMessage="1" prompt="تعقب الغياب في شهر يوليو في ورقة العمل هذه" sqref="A1" xr:uid="{00000000-0002-0000-0600-00000A000000}"/>
    <dataValidation allowBlank="1" showInputMessage="1" showErrorMessage="1" prompt="يتم حساب إجمالي عدد أيام غياب موظف هذا الشهر في هذا العمود تلقائياً" sqref="AH6" xr:uid="{00000000-0002-0000-0600-00000B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600-00000C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6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59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TEXT(WEEKDAY(DATE(CalendarYear,8,1),1),"aaa")</f>
        <v>الخميس</v>
      </c>
      <c r="D5" s="8" t="str">
        <f>TEXT(WEEKDAY(DATE(CalendarYear,8,2),1),"aaa")</f>
        <v>الجمعة</v>
      </c>
      <c r="E5" s="8" t="str">
        <f>TEXT(WEEKDAY(DATE(CalendarYear,8,3),1),"aaa")</f>
        <v>السبت</v>
      </c>
      <c r="F5" s="8" t="str">
        <f>TEXT(WEEKDAY(DATE(CalendarYear,8,4),1),"aaa")</f>
        <v>الأحد</v>
      </c>
      <c r="G5" s="8" t="str">
        <f>TEXT(WEEKDAY(DATE(CalendarYear,8,5),1),"aaa")</f>
        <v>الإثنين</v>
      </c>
      <c r="H5" s="8" t="str">
        <f>TEXT(WEEKDAY(DATE(CalendarYear,8,6),1),"aaa")</f>
        <v>الثلاثاء</v>
      </c>
      <c r="I5" s="8" t="str">
        <f>TEXT(WEEKDAY(DATE(CalendarYear,8,7),1),"aaa")</f>
        <v>الأربعاء</v>
      </c>
      <c r="J5" s="8" t="str">
        <f>TEXT(WEEKDAY(DATE(CalendarYear,8,8),1),"aaa")</f>
        <v>الخميس</v>
      </c>
      <c r="K5" s="8" t="str">
        <f>TEXT(WEEKDAY(DATE(CalendarYear,8,9),1),"aaa")</f>
        <v>الجمعة</v>
      </c>
      <c r="L5" s="8" t="str">
        <f>TEXT(WEEKDAY(DATE(CalendarYear,8,10),1),"aaa")</f>
        <v>السبت</v>
      </c>
      <c r="M5" s="8" t="str">
        <f>TEXT(WEEKDAY(DATE(CalendarYear,8,11),1),"aaa")</f>
        <v>الأحد</v>
      </c>
      <c r="N5" s="8" t="str">
        <f>TEXT(WEEKDAY(DATE(CalendarYear,8,12),1),"aaa")</f>
        <v>الإثنين</v>
      </c>
      <c r="O5" s="8" t="str">
        <f>TEXT(WEEKDAY(DATE(CalendarYear,8,13),1),"aaa")</f>
        <v>الثلاثاء</v>
      </c>
      <c r="P5" s="8" t="str">
        <f>TEXT(WEEKDAY(DATE(CalendarYear,8,14),1),"aaa")</f>
        <v>الأربعاء</v>
      </c>
      <c r="Q5" s="8" t="str">
        <f>TEXT(WEEKDAY(DATE(CalendarYear,8,15),1),"aaa")</f>
        <v>الخميس</v>
      </c>
      <c r="R5" s="8" t="str">
        <f>TEXT(WEEKDAY(DATE(CalendarYear,8,16),1),"aaa")</f>
        <v>الجمعة</v>
      </c>
      <c r="S5" s="8" t="str">
        <f>TEXT(WEEKDAY(DATE(CalendarYear,8,17),1),"aaa")</f>
        <v>السبت</v>
      </c>
      <c r="T5" s="8" t="str">
        <f>TEXT(WEEKDAY(DATE(CalendarYear,8,18),1),"aaa")</f>
        <v>الأحد</v>
      </c>
      <c r="U5" s="8" t="str">
        <f>TEXT(WEEKDAY(DATE(CalendarYear,8,19),1),"aaa")</f>
        <v>الإثنين</v>
      </c>
      <c r="V5" s="8" t="str">
        <f>TEXT(WEEKDAY(DATE(CalendarYear,8,20),1),"aaa")</f>
        <v>الثلاثاء</v>
      </c>
      <c r="W5" s="8" t="str">
        <f>TEXT(WEEKDAY(DATE(CalendarYear,8,21),1),"aaa")</f>
        <v>الأربعاء</v>
      </c>
      <c r="X5" s="8" t="str">
        <f>TEXT(WEEKDAY(DATE(CalendarYear,8,22),1),"aaa")</f>
        <v>الخميس</v>
      </c>
      <c r="Y5" s="8" t="str">
        <f>TEXT(WEEKDAY(DATE(CalendarYear,8,23),1),"aaa")</f>
        <v>الجمعة</v>
      </c>
      <c r="Z5" s="8" t="str">
        <f>TEXT(WEEKDAY(DATE(CalendarYear,8,24),1),"aaa")</f>
        <v>السبت</v>
      </c>
      <c r="AA5" s="8" t="str">
        <f>TEXT(WEEKDAY(DATE(CalendarYear,8,25),1),"aaa")</f>
        <v>الأحد</v>
      </c>
      <c r="AB5" s="8" t="str">
        <f>TEXT(WEEKDAY(DATE(CalendarYear,8,26),1),"aaa")</f>
        <v>الإثنين</v>
      </c>
      <c r="AC5" s="8" t="str">
        <f>TEXT(WEEKDAY(DATE(CalendarYear,8,27),1),"aaa")</f>
        <v>الثلاثاء</v>
      </c>
      <c r="AD5" s="8" t="str">
        <f>TEXT(WEEKDAY(DATE(CalendarYear,8,28),1),"aaa")</f>
        <v>الأربعاء</v>
      </c>
      <c r="AE5" s="8" t="str">
        <f>TEXT(WEEKDAY(DATE(CalendarYear,8,29),1),"aaa")</f>
        <v>الخميس</v>
      </c>
      <c r="AF5" s="8" t="str">
        <f>TEXT(WEEKDAY(DATE(CalendarYear,8,30),1),"aaa")</f>
        <v>الجمعة</v>
      </c>
      <c r="AG5" s="8" t="str">
        <f>TEXT(WEEKDAY(DATE(CalendarYear,8,31),1),"aaa")</f>
        <v>السبت</v>
      </c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48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COUNTA(أغسطس[[#This Row],[1]:[31]])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COUNTA(أغسطس[[#This Row],[1]:[31]])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COUNTA(أغسطس[[#This Row],[1]:[31]])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COUNTA(أغسطس[[#This Row],[1]:[31]])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COUNTA(أغسطس[[#This Row],[1]:[31]])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أغسطس</v>
      </c>
      <c r="C12" s="15">
        <f>SUBTOTAL(103,أغسطس[1])</f>
        <v>0</v>
      </c>
      <c r="D12" s="15">
        <f>SUBTOTAL(103,أغسطس[2])</f>
        <v>0</v>
      </c>
      <c r="E12" s="15">
        <f>SUBTOTAL(103,أغسطس[3])</f>
        <v>0</v>
      </c>
      <c r="F12" s="15">
        <f>SUBTOTAL(103,أغسطس[4])</f>
        <v>0</v>
      </c>
      <c r="G12" s="15">
        <f>SUBTOTAL(103,أغسطس[5])</f>
        <v>0</v>
      </c>
      <c r="H12" s="15">
        <f>SUBTOTAL(103,أغسطس[6])</f>
        <v>0</v>
      </c>
      <c r="I12" s="15">
        <f>SUBTOTAL(103,أغسطس[7])</f>
        <v>0</v>
      </c>
      <c r="J12" s="15">
        <f>SUBTOTAL(103,أغسطس[8])</f>
        <v>0</v>
      </c>
      <c r="K12" s="15">
        <f>SUBTOTAL(103,أغسطس[9])</f>
        <v>0</v>
      </c>
      <c r="L12" s="15">
        <f>SUBTOTAL(103,أغسطس[10])</f>
        <v>0</v>
      </c>
      <c r="M12" s="15">
        <f>SUBTOTAL(103,أغسطس[11])</f>
        <v>0</v>
      </c>
      <c r="N12" s="15">
        <f>SUBTOTAL(103,أغسطس[12])</f>
        <v>0</v>
      </c>
      <c r="O12" s="15">
        <f>SUBTOTAL(103,أغسطس[13])</f>
        <v>0</v>
      </c>
      <c r="P12" s="15">
        <f>SUBTOTAL(103,أغسطس[14])</f>
        <v>0</v>
      </c>
      <c r="Q12" s="15">
        <f>SUBTOTAL(103,أغسطس[15])</f>
        <v>0</v>
      </c>
      <c r="R12" s="15">
        <f>SUBTOTAL(103,أغسطس[16])</f>
        <v>0</v>
      </c>
      <c r="S12" s="15">
        <f>SUBTOTAL(103,أغسطس[17])</f>
        <v>0</v>
      </c>
      <c r="T12" s="15">
        <f>SUBTOTAL(103,أغسطس[18])</f>
        <v>0</v>
      </c>
      <c r="U12" s="15">
        <f>SUBTOTAL(103,أغسطس[19])</f>
        <v>0</v>
      </c>
      <c r="V12" s="15">
        <f>SUBTOTAL(103,أغسطس[20])</f>
        <v>0</v>
      </c>
      <c r="W12" s="15">
        <f>SUBTOTAL(103,أغسطس[21])</f>
        <v>0</v>
      </c>
      <c r="X12" s="15">
        <f>SUBTOTAL(103,أغسطس[22])</f>
        <v>0</v>
      </c>
      <c r="Y12" s="15">
        <f>SUBTOTAL(103,أغسطس[23])</f>
        <v>0</v>
      </c>
      <c r="Z12" s="15">
        <f>SUBTOTAL(103,أغسطس[24])</f>
        <v>0</v>
      </c>
      <c r="AA12" s="15">
        <f>SUBTOTAL(103,أغسطس[25])</f>
        <v>0</v>
      </c>
      <c r="AB12" s="15">
        <f>SUBTOTAL(103,أغسطس[26])</f>
        <v>0</v>
      </c>
      <c r="AC12" s="15">
        <f>SUBTOTAL(103,أغسطس[27])</f>
        <v>0</v>
      </c>
      <c r="AD12" s="15">
        <f>SUBTOTAL(103,أغسطس[28])</f>
        <v>0</v>
      </c>
      <c r="AE12" s="15">
        <f>SUBTOTAL(103,أغسطس[29])</f>
        <v>0</v>
      </c>
      <c r="AF12" s="15">
        <f>SUBTOTAL(103,أغسطس[30])</f>
        <v>0</v>
      </c>
      <c r="AG12" s="15">
        <f>SUBTOTAL(103,أغسطس[31])</f>
        <v>0</v>
      </c>
      <c r="AH12" s="15">
        <f>SUBTOTAL(109,أغسطس[إجمالي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05" priority="2" stopIfTrue="1">
      <formula>C7=KeyCustom2</formula>
    </cfRule>
    <cfRule type="expression" dxfId="604" priority="3" stopIfTrue="1">
      <formula>C7=KeyCustom1</formula>
    </cfRule>
    <cfRule type="expression" dxfId="603" priority="4" stopIfTrue="1">
      <formula>C7=KeySick</formula>
    </cfRule>
    <cfRule type="expression" dxfId="602" priority="5" stopIfTrue="1">
      <formula>C7=KeyPersonal</formula>
    </cfRule>
    <cfRule type="expression" dxfId="601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700-000000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700-000001000000}"/>
    <dataValidation allowBlank="1" showInputMessage="1" showErrorMessage="1" prompt="يتم حساب إجمالي عدد أيام غياب موظف هذا الشهر في هذا العمود تلقائياً" sqref="AH6" xr:uid="{00000000-0002-0000-0700-000002000000}"/>
    <dataValidation allowBlank="1" showInputMessage="1" showErrorMessage="1" prompt="تعقب الغياب في شهر أغسطس في ورقة العمل هذه" sqref="A1" xr:uid="{00000000-0002-0000-0700-000003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700-000004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700-000005000000}"/>
    <dataValidation allowBlank="1" showInputMessage="1" showErrorMessage="1" prompt="الحرف &quot;ع&quot; يشير إلى الغياب بسبب قضاء عطلة" sqref="C2" xr:uid="{00000000-0002-0000-0700-000006000000}"/>
    <dataValidation allowBlank="1" showInputMessage="1" showErrorMessage="1" prompt="الحرف &quot;ش&quot; يشير إلى الغياب لأسباب شخصية" sqref="G2" xr:uid="{00000000-0002-0000-0700-000007000000}"/>
    <dataValidation allowBlank="1" showInputMessage="1" showErrorMessage="1" prompt="الحرف &quot;م&quot; يشير إلى الغياب بسبب المرض" sqref="K2" xr:uid="{00000000-0002-0000-0700-000008000000}"/>
    <dataValidation allowBlank="1" showInputMessage="1" showErrorMessage="1" prompt="أدخل حرفاً وخصّص التسمية مباشرة لإضافة عنصر مفتاحي آخر" sqref="N2 R2" xr:uid="{00000000-0002-0000-0700-000009000000}"/>
    <dataValidation allowBlank="1" showInputMessage="1" showErrorMessage="1" prompt="أدخل تسمية لوصف المفتاح المخصص على اليمين" sqref="O2:Q2 S2:U2" xr:uid="{00000000-0002-0000-0700-00000A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700-00000B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700-00000C000000}"/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7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I12"/>
  <sheetViews>
    <sheetView showGridLines="0" rightToLeft="1" zoomScaleNormal="100" workbookViewId="0"/>
  </sheetViews>
  <sheetFormatPr defaultRowHeight="30" customHeight="1" x14ac:dyDescent="0.2"/>
  <cols>
    <col min="1" max="1" width="2.625" style="3" customWidth="1"/>
    <col min="2" max="2" width="25.625" style="3" customWidth="1"/>
    <col min="3" max="33" width="6.625" style="3" customWidth="1"/>
    <col min="34" max="34" width="13.5" style="3" customWidth="1"/>
    <col min="35" max="35" width="2.625" style="16" customWidth="1"/>
    <col min="36" max="16384" width="9" style="16"/>
  </cols>
  <sheetData>
    <row r="1" spans="1:35" s="25" customFormat="1" ht="50.1" customHeight="1" x14ac:dyDescent="0.2">
      <c r="A1" s="3"/>
      <c r="B1" s="24" t="str">
        <f>Employee_Absence_Title</f>
        <v>جدول غياب الموظفين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s="25" customFormat="1" ht="15" customHeight="1" x14ac:dyDescent="0.2">
      <c r="A2" s="3"/>
      <c r="B2" s="4" t="s">
        <v>1</v>
      </c>
      <c r="C2" s="5" t="s">
        <v>9</v>
      </c>
      <c r="D2" s="28" t="s">
        <v>12</v>
      </c>
      <c r="E2" s="28"/>
      <c r="F2" s="28"/>
      <c r="G2" s="6" t="s">
        <v>15</v>
      </c>
      <c r="H2" s="28" t="s">
        <v>19</v>
      </c>
      <c r="I2" s="28"/>
      <c r="J2" s="28"/>
      <c r="K2" s="20" t="s">
        <v>17</v>
      </c>
      <c r="L2" s="28" t="s">
        <v>24</v>
      </c>
      <c r="M2" s="28"/>
      <c r="N2" s="21"/>
      <c r="O2" s="28" t="s">
        <v>28</v>
      </c>
      <c r="P2" s="28"/>
      <c r="Q2" s="28"/>
      <c r="R2" s="22"/>
      <c r="S2" s="28" t="s">
        <v>33</v>
      </c>
      <c r="T2" s="28"/>
      <c r="U2" s="2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25" customFormat="1" ht="15" customHeight="1" x14ac:dyDescent="0.2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25" customFormat="1" ht="30" customHeight="1" x14ac:dyDescent="0.2">
      <c r="A4" s="3"/>
      <c r="B4" s="19" t="s">
        <v>60</v>
      </c>
      <c r="C4" s="27" t="s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9">
        <f>CalendarYear</f>
        <v>2019</v>
      </c>
      <c r="AI4" s="16"/>
    </row>
    <row r="5" spans="1:35" s="25" customFormat="1" ht="15" customHeight="1" x14ac:dyDescent="0.2">
      <c r="A5" s="3"/>
      <c r="B5" s="19"/>
      <c r="C5" s="8" t="str">
        <f>TEXT(WEEKDAY(DATE(CalendarYear,9,1),1),"aaa")</f>
        <v>الأحد</v>
      </c>
      <c r="D5" s="8" t="str">
        <f>TEXT(WEEKDAY(DATE(CalendarYear,9,2),1),"aaa")</f>
        <v>الإثنين</v>
      </c>
      <c r="E5" s="8" t="str">
        <f>TEXT(WEEKDAY(DATE(CalendarYear,9,3),1),"aaa")</f>
        <v>الثلاثاء</v>
      </c>
      <c r="F5" s="8" t="str">
        <f>TEXT(WEEKDAY(DATE(CalendarYear,9,4),1),"aaa")</f>
        <v>الأربعاء</v>
      </c>
      <c r="G5" s="8" t="str">
        <f>TEXT(WEEKDAY(DATE(CalendarYear,9,5),1),"aaa")</f>
        <v>الخميس</v>
      </c>
      <c r="H5" s="8" t="str">
        <f>TEXT(WEEKDAY(DATE(CalendarYear,9,6),1),"aaa")</f>
        <v>الجمعة</v>
      </c>
      <c r="I5" s="8" t="str">
        <f>TEXT(WEEKDAY(DATE(CalendarYear,9,7),1),"aaa")</f>
        <v>السبت</v>
      </c>
      <c r="J5" s="8" t="str">
        <f>TEXT(WEEKDAY(DATE(CalendarYear,9,8),1),"aaa")</f>
        <v>الأحد</v>
      </c>
      <c r="K5" s="8" t="str">
        <f>TEXT(WEEKDAY(DATE(CalendarYear,9,9),1),"aaa")</f>
        <v>الإثنين</v>
      </c>
      <c r="L5" s="8" t="str">
        <f>TEXT(WEEKDAY(DATE(CalendarYear,9,10),1),"aaa")</f>
        <v>الثلاثاء</v>
      </c>
      <c r="M5" s="8" t="str">
        <f>TEXT(WEEKDAY(DATE(CalendarYear,9,11),1),"aaa")</f>
        <v>الأربعاء</v>
      </c>
      <c r="N5" s="8" t="str">
        <f>TEXT(WEEKDAY(DATE(CalendarYear,9,12),1),"aaa")</f>
        <v>الخميس</v>
      </c>
      <c r="O5" s="8" t="str">
        <f>TEXT(WEEKDAY(DATE(CalendarYear,9,13),1),"aaa")</f>
        <v>الجمعة</v>
      </c>
      <c r="P5" s="8" t="str">
        <f>TEXT(WEEKDAY(DATE(CalendarYear,9,14),1),"aaa")</f>
        <v>السبت</v>
      </c>
      <c r="Q5" s="8" t="str">
        <f>TEXT(WEEKDAY(DATE(CalendarYear,9,15),1),"aaa")</f>
        <v>الأحد</v>
      </c>
      <c r="R5" s="8" t="str">
        <f>TEXT(WEEKDAY(DATE(CalendarYear,9,16),1),"aaa")</f>
        <v>الإثنين</v>
      </c>
      <c r="S5" s="8" t="str">
        <f>TEXT(WEEKDAY(DATE(CalendarYear,9,17),1),"aaa")</f>
        <v>الثلاثاء</v>
      </c>
      <c r="T5" s="8" t="str">
        <f>TEXT(WEEKDAY(DATE(CalendarYear,9,18),1),"aaa")</f>
        <v>الأربعاء</v>
      </c>
      <c r="U5" s="8" t="str">
        <f>TEXT(WEEKDAY(DATE(CalendarYear,9,19),1),"aaa")</f>
        <v>الخميس</v>
      </c>
      <c r="V5" s="8" t="str">
        <f>TEXT(WEEKDAY(DATE(CalendarYear,9,20),1),"aaa")</f>
        <v>الجمعة</v>
      </c>
      <c r="W5" s="8" t="str">
        <f>TEXT(WEEKDAY(DATE(CalendarYear,9,21),1),"aaa")</f>
        <v>السبت</v>
      </c>
      <c r="X5" s="8" t="str">
        <f>TEXT(WEEKDAY(DATE(CalendarYear,9,22),1),"aaa")</f>
        <v>الأحد</v>
      </c>
      <c r="Y5" s="8" t="str">
        <f>TEXT(WEEKDAY(DATE(CalendarYear,9,23),1),"aaa")</f>
        <v>الإثنين</v>
      </c>
      <c r="Z5" s="8" t="str">
        <f>TEXT(WEEKDAY(DATE(CalendarYear,9,24),1),"aaa")</f>
        <v>الثلاثاء</v>
      </c>
      <c r="AA5" s="8" t="str">
        <f>TEXT(WEEKDAY(DATE(CalendarYear,9,25),1),"aaa")</f>
        <v>الأربعاء</v>
      </c>
      <c r="AB5" s="8" t="str">
        <f>TEXT(WEEKDAY(DATE(CalendarYear,9,26),1),"aaa")</f>
        <v>الخميس</v>
      </c>
      <c r="AC5" s="8" t="str">
        <f>TEXT(WEEKDAY(DATE(CalendarYear,9,27),1),"aaa")</f>
        <v>الجمعة</v>
      </c>
      <c r="AD5" s="8" t="str">
        <f>TEXT(WEEKDAY(DATE(CalendarYear,9,28),1),"aaa")</f>
        <v>السبت</v>
      </c>
      <c r="AE5" s="8" t="str">
        <f>TEXT(WEEKDAY(DATE(CalendarYear,9,29),1),"aaa")</f>
        <v>الأحد</v>
      </c>
      <c r="AF5" s="8" t="str">
        <f>TEXT(WEEKDAY(DATE(CalendarYear,9,30),1),"aaa")</f>
        <v>الإثنين</v>
      </c>
      <c r="AG5" s="8"/>
      <c r="AH5" s="19"/>
      <c r="AI5" s="16"/>
    </row>
    <row r="6" spans="1:35" s="25" customFormat="1" ht="15" customHeight="1" x14ac:dyDescent="0.2">
      <c r="A6" s="3"/>
      <c r="B6" s="9" t="s">
        <v>3</v>
      </c>
      <c r="C6" s="10" t="s">
        <v>11</v>
      </c>
      <c r="D6" s="10" t="s">
        <v>13</v>
      </c>
      <c r="E6" s="10" t="s">
        <v>14</v>
      </c>
      <c r="F6" s="10" t="s">
        <v>16</v>
      </c>
      <c r="G6" s="10" t="s">
        <v>18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25</v>
      </c>
      <c r="M6" s="10" t="s">
        <v>26</v>
      </c>
      <c r="N6" s="10" t="s">
        <v>27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 t="s">
        <v>44</v>
      </c>
      <c r="AD6" s="10" t="s">
        <v>45</v>
      </c>
      <c r="AE6" s="10" t="s">
        <v>46</v>
      </c>
      <c r="AF6" s="10" t="s">
        <v>47</v>
      </c>
      <c r="AG6" s="10" t="s">
        <v>52</v>
      </c>
      <c r="AH6" s="11" t="s">
        <v>50</v>
      </c>
      <c r="AI6" s="16"/>
    </row>
    <row r="7" spans="1:35" s="25" customFormat="1" ht="30" customHeight="1" x14ac:dyDescent="0.2">
      <c r="A7" s="3"/>
      <c r="B7" s="17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COUNTA(سبتمبر[[#This Row],[1]:[30]])</f>
        <v>0</v>
      </c>
      <c r="AI7" s="16"/>
    </row>
    <row r="8" spans="1:35" s="25" customFormat="1" ht="30" customHeight="1" x14ac:dyDescent="0.2">
      <c r="A8" s="3"/>
      <c r="B8" s="17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f>COUNTA(سبتمبر[[#This Row],[1]:[30]])</f>
        <v>0</v>
      </c>
      <c r="AI8" s="16"/>
    </row>
    <row r="9" spans="1:35" s="25" customFormat="1" ht="30" customHeight="1" x14ac:dyDescent="0.2">
      <c r="A9" s="3"/>
      <c r="B9" s="17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COUNTA(سبتمبر[[#This Row],[1]:[30]])</f>
        <v>0</v>
      </c>
      <c r="AI9" s="16"/>
    </row>
    <row r="10" spans="1:35" s="25" customFormat="1" ht="30" customHeight="1" x14ac:dyDescent="0.2">
      <c r="A10" s="3"/>
      <c r="B10" s="17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f>COUNTA(سبتمبر[[#This Row],[1]:[30]])</f>
        <v>0</v>
      </c>
      <c r="AI10" s="16"/>
    </row>
    <row r="11" spans="1:35" s="25" customFormat="1" ht="30" customHeight="1" x14ac:dyDescent="0.2">
      <c r="A11" s="3"/>
      <c r="B11" s="1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COUNTA(سبتمبر[[#This Row],[1]:[30]])</f>
        <v>0</v>
      </c>
      <c r="AI11" s="16"/>
    </row>
    <row r="12" spans="1:35" s="25" customFormat="1" ht="30" customHeight="1" x14ac:dyDescent="0.2">
      <c r="A12" s="3"/>
      <c r="B12" s="14" t="str">
        <f>"إجمالي شهر "&amp;MonthName</f>
        <v>إجمالي شهر سبتمبر</v>
      </c>
      <c r="C12" s="15">
        <f>SUBTOTAL(103,سبتمبر[1])</f>
        <v>0</v>
      </c>
      <c r="D12" s="15">
        <f>SUBTOTAL(103,سبتمبر[2])</f>
        <v>0</v>
      </c>
      <c r="E12" s="15">
        <f>SUBTOTAL(103,سبتمبر[3])</f>
        <v>0</v>
      </c>
      <c r="F12" s="15">
        <f>SUBTOTAL(103,سبتمبر[4])</f>
        <v>0</v>
      </c>
      <c r="G12" s="15">
        <f>SUBTOTAL(103,سبتمبر[5])</f>
        <v>0</v>
      </c>
      <c r="H12" s="15">
        <f>SUBTOTAL(103,سبتمبر[6])</f>
        <v>0</v>
      </c>
      <c r="I12" s="15">
        <f>SUBTOTAL(103,سبتمبر[7])</f>
        <v>0</v>
      </c>
      <c r="J12" s="15">
        <f>SUBTOTAL(103,سبتمبر[8])</f>
        <v>0</v>
      </c>
      <c r="K12" s="15">
        <f>SUBTOTAL(103,سبتمبر[9])</f>
        <v>0</v>
      </c>
      <c r="L12" s="15">
        <f>SUBTOTAL(103,سبتمبر[10])</f>
        <v>0</v>
      </c>
      <c r="M12" s="15">
        <f>SUBTOTAL(103,سبتمبر[11])</f>
        <v>0</v>
      </c>
      <c r="N12" s="15">
        <f>SUBTOTAL(103,سبتمبر[12])</f>
        <v>0</v>
      </c>
      <c r="O12" s="15">
        <f>SUBTOTAL(103,سبتمبر[13])</f>
        <v>0</v>
      </c>
      <c r="P12" s="15">
        <f>SUBTOTAL(103,سبتمبر[14])</f>
        <v>0</v>
      </c>
      <c r="Q12" s="15">
        <f>SUBTOTAL(103,سبتمبر[15])</f>
        <v>0</v>
      </c>
      <c r="R12" s="15">
        <f>SUBTOTAL(103,سبتمبر[16])</f>
        <v>0</v>
      </c>
      <c r="S12" s="15">
        <f>SUBTOTAL(103,سبتمبر[17])</f>
        <v>0</v>
      </c>
      <c r="T12" s="15">
        <f>SUBTOTAL(103,سبتمبر[18])</f>
        <v>0</v>
      </c>
      <c r="U12" s="15">
        <f>SUBTOTAL(103,سبتمبر[19])</f>
        <v>0</v>
      </c>
      <c r="V12" s="15">
        <f>SUBTOTAL(103,سبتمبر[20])</f>
        <v>0</v>
      </c>
      <c r="W12" s="15">
        <f>SUBTOTAL(103,سبتمبر[21])</f>
        <v>0</v>
      </c>
      <c r="X12" s="15">
        <f>SUBTOTAL(103,سبتمبر[22])</f>
        <v>0</v>
      </c>
      <c r="Y12" s="15">
        <f>SUBTOTAL(103,سبتمبر[23])</f>
        <v>0</v>
      </c>
      <c r="Z12" s="15">
        <f>SUBTOTAL(103,سبتمبر[24])</f>
        <v>0</v>
      </c>
      <c r="AA12" s="15">
        <f>SUBTOTAL(103,سبتمبر[25])</f>
        <v>0</v>
      </c>
      <c r="AB12" s="15">
        <f>SUBTOTAL(103,سبتمبر[26])</f>
        <v>0</v>
      </c>
      <c r="AC12" s="15">
        <f>SUBTOTAL(103,سبتمبر[27])</f>
        <v>0</v>
      </c>
      <c r="AD12" s="15">
        <f>SUBTOTAL(103,سبتمبر[28])</f>
        <v>0</v>
      </c>
      <c r="AE12" s="15">
        <f>SUBTOTAL(103,سبتمبر[29])</f>
        <v>0</v>
      </c>
      <c r="AF12" s="15">
        <f>SUBTOTAL(103,سبتمبر[30])</f>
        <v>0</v>
      </c>
      <c r="AG12" s="15">
        <f>SUBTOTAL(103,سبتمبر[[ ]])</f>
        <v>0</v>
      </c>
      <c r="AH12" s="15">
        <f>SUBTOTAL(109,سبتمبر[إجمالي الأيام])</f>
        <v>0</v>
      </c>
      <c r="AI12" s="16"/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64" priority="2" stopIfTrue="1">
      <formula>C7=KeyCustom2</formula>
    </cfRule>
    <cfRule type="expression" dxfId="563" priority="3" stopIfTrue="1">
      <formula>C7=KeyCustom1</formula>
    </cfRule>
    <cfRule type="expression" dxfId="562" priority="4" stopIfTrue="1">
      <formula>C7=KeySick</formula>
    </cfRule>
    <cfRule type="expression" dxfId="561" priority="5" stopIfTrue="1">
      <formula>C7=KeyPersonal</formula>
    </cfRule>
    <cfRule type="expression" dxfId="560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يتم تلقائياً إنشاء أيام من الشهر الموجود في هذا الصف. أدخل غياب الموظف ونوع الغياب في كل عمود لكل يوم من أيام الشهر. والخلايا الفارغة تعني عدم وجود غياب." sqref="C6" xr:uid="{00000000-0002-0000-0800-000000000000}"/>
    <dataValidation allowBlank="1" showInputMessage="1" showErrorMessage="1" prompt="اسم الشهر لجدول الغياب هذا موجود في هذه الخلية. إجماليات الغياب لهذا الشهر موجودة في الخلية الأخيرة للجدول. حدد أسماء الموظفين في العمود B للجدول." sqref="B4" xr:uid="{00000000-0002-0000-0800-000001000000}"/>
    <dataValidation allowBlank="1" showInputMessage="1" showErrorMessage="1" prompt="يعرّف هذا الصف المفاتيح المستخدمة في الجدول: الخلية C2 هي الغياب لقضاء عطلة، خلية G2 هي الغياب لأسباب شخصية والخلية K2 للغياب المرضي. الخليتان R2 وN2 قابلتان للتخصيص." sqref="B2" xr:uid="{00000000-0002-0000-0800-000002000000}"/>
    <dataValidation allowBlank="1" showInputMessage="1" showErrorMessage="1" prompt="أدخل تسمية لوصف المفتاح المخصص على اليمين" sqref="O2:Q2 S2:U2" xr:uid="{00000000-0002-0000-0800-000003000000}"/>
    <dataValidation allowBlank="1" showInputMessage="1" showErrorMessage="1" prompt="أدخل حرفاً وخصّص التسمية مباشرة لإضافة عنصر مفتاحي آخر" sqref="N2 R2" xr:uid="{00000000-0002-0000-0800-000004000000}"/>
    <dataValidation allowBlank="1" showInputMessage="1" showErrorMessage="1" prompt="الحرف &quot;م&quot; يشير إلى الغياب بسبب المرض" sqref="K2" xr:uid="{00000000-0002-0000-0800-000005000000}"/>
    <dataValidation allowBlank="1" showInputMessage="1" showErrorMessage="1" prompt="الحرف &quot;ش&quot; يشير إلى الغياب لأسباب شخصية" sqref="G2" xr:uid="{00000000-0002-0000-0800-000006000000}"/>
    <dataValidation allowBlank="1" showInputMessage="1" showErrorMessage="1" prompt="الحرف &quot;ع&quot; يشير إلى الغياب بسبب قضاء عطلة" sqref="C2" xr:uid="{00000000-0002-0000-0800-000007000000}"/>
    <dataValidation allowBlank="1" showInputMessage="1" showErrorMessage="1" prompt="عنوان محدّث تلقائياً في هذه الخلية. لتعديل العنوان، قم بتحديث B1 في ورقة العمل &quot;يناير&quot;." sqref="B1" xr:uid="{00000000-0002-0000-0800-000008000000}"/>
    <dataValidation errorStyle="warning" allowBlank="1" showInputMessage="1" showErrorMessage="1" error="حدد اسماً من القائمة، ثم حدد &quot;إلغاء الأمر&quot; واضغط على ALT+سهم لأسفل ثم على مفتاح الإدخال ENTER لتحديد اسم." prompt="أدخل أسماء الموظفين في ورقة العمل &quot;أسماء الموظفين&quot; ثم حدد أحد هذه الأسماء من القائمة في هذا العمود. اضغط على ALT+سهم لأسفل ثم على مفتاح الإدخال ENTER لتحديد اسم." sqref="B6" xr:uid="{00000000-0002-0000-0800-000009000000}"/>
    <dataValidation allowBlank="1" showInputMessage="1" showErrorMessage="1" prompt="تعقب الغياب في شهر سبتمبر في ورقة العمل هذه" sqref="A1" xr:uid="{00000000-0002-0000-0800-00000A000000}"/>
    <dataValidation allowBlank="1" showInputMessage="1" showErrorMessage="1" prompt="يتم حساب إجمالي عدد أيام غياب موظف هذا الشهر في هذا العمود تلقائياً" sqref="AH6" xr:uid="{00000000-0002-0000-0800-00000B000000}"/>
    <dataValidation allowBlank="1" showInputMessage="1" showErrorMessage="1" prompt="سنة محدّثة تلقائياً استناداً إلى السنة التي تم إدخالها في ورقة عمل &quot;يناير&quot;." sqref="AH4" xr:uid="{00000000-0002-0000-0800-00000C000000}"/>
    <dataValidation allowBlank="1" showInputMessage="1" showErrorMessage="1" prompt="يتم تحديث أيام الأسبوع تلقائياً في هذا الصف للشهر وفقاً للسنة في AH4. وكل يوم في الشهر هو عمود لتدوين غياب الموظف ونوع الغياب." sqref="C5" xr:uid="{00000000-0002-0000-08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'أسماء الموظفين'!$B$4:$B$8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النطاقات المسماة</vt:lpstr>
      </vt:variant>
      <vt:variant>
        <vt:i4>50</vt:i4>
      </vt:variant>
    </vt:vector>
  </HeadingPairs>
  <TitlesOfParts>
    <vt:vector size="63" baseType="lpstr">
      <vt:lpstr>يناير</vt:lpstr>
      <vt:lpstr>فبراير</vt:lpstr>
      <vt:lpstr>مارس</vt:lpstr>
      <vt:lpstr>أبريل</vt:lpstr>
      <vt:lpstr>مايو</vt:lpstr>
      <vt:lpstr>يونيو</vt:lpstr>
      <vt:lpstr>يوليو</vt:lpstr>
      <vt:lpstr>أغسطس</vt:lpstr>
      <vt:lpstr>سبتمبر</vt:lpstr>
      <vt:lpstr>أكتوبر</vt:lpstr>
      <vt:lpstr>نوفمبر</vt:lpstr>
      <vt:lpstr>ديسمبر</vt:lpstr>
      <vt:lpstr>أسماء الموظفين</vt:lpstr>
      <vt:lpstr>CalendarYear</vt:lpstr>
      <vt:lpstr>ColumnTitle13</vt:lpstr>
      <vt:lpstr>Employee_Absence_Title</vt:lpstr>
      <vt:lpstr>Key_name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أبريل!MonthName</vt:lpstr>
      <vt:lpstr>أغسطس!MonthName</vt:lpstr>
      <vt:lpstr>أكتوبر!MonthName</vt:lpstr>
      <vt:lpstr>ديسمبر!MonthName</vt:lpstr>
      <vt:lpstr>سبتمبر!MonthName</vt:lpstr>
      <vt:lpstr>فبراير!MonthName</vt:lpstr>
      <vt:lpstr>مارس!MonthName</vt:lpstr>
      <vt:lpstr>مايو!MonthName</vt:lpstr>
      <vt:lpstr>نوفمبر!MonthName</vt:lpstr>
      <vt:lpstr>يناير!MonthName</vt:lpstr>
      <vt:lpstr>يوليو!MonthName</vt:lpstr>
      <vt:lpstr>يونيو!MonthName</vt:lpstr>
      <vt:lpstr>أبريل!Print_Titles</vt:lpstr>
      <vt:lpstr>أغسطس!Print_Titles</vt:lpstr>
      <vt:lpstr>أكتوبر!Print_Titles</vt:lpstr>
      <vt:lpstr>ديسمبر!Print_Titles</vt:lpstr>
      <vt:lpstr>سبتمبر!Print_Titles</vt:lpstr>
      <vt:lpstr>فبراير!Print_Titles</vt:lpstr>
      <vt:lpstr>مارس!Print_Titles</vt:lpstr>
      <vt:lpstr>مايو!Print_Titles</vt:lpstr>
      <vt:lpstr>نوفمبر!Print_Titles</vt:lpstr>
      <vt:lpstr>يناير!Print_Titles</vt:lpstr>
      <vt:lpstr>يوليو!Print_Titles</vt:lpstr>
      <vt:lpstr>يونيو!Print_Titles</vt:lpstr>
      <vt:lpstr>العنوان_1</vt:lpstr>
      <vt:lpstr>العنوان_10</vt:lpstr>
      <vt:lpstr>العنوان_11</vt:lpstr>
      <vt:lpstr>العنوان_12</vt:lpstr>
      <vt:lpstr>العنوان_2</vt:lpstr>
      <vt:lpstr>العنوان_3</vt:lpstr>
      <vt:lpstr>العنوان_4</vt:lpstr>
      <vt:lpstr>العنوان_5</vt:lpstr>
      <vt:lpstr>العنوان_6</vt:lpstr>
      <vt:lpstr>العنوان_7</vt:lpstr>
      <vt:lpstr>العنوان_8</vt:lpstr>
      <vt:lpstr>العنوان_9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2019-07-24T01:07:06Z</dcterms:modified>
</cp:coreProperties>
</file>