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1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worksheets/sheet1.xml" ContentType="application/vnd.openxmlformats-officedocument.spreadsheetml.worksheet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drawings/drawing6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xl/customProperty1.bin" ContentType="application/vnd.openxmlformats-officedocument.spreadsheetml.customProperty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autoCompressPictures="0"/>
  <bookViews>
    <workbookView xWindow="0" yWindow="60" windowWidth="19200" windowHeight="11205"/>
  </bookViews>
  <sheets>
    <sheet name="يناير" sheetId="6" r:id="rId1"/>
    <sheet name="فبراير" sheetId="9" r:id="rId2"/>
    <sheet name="مارس" sheetId="10" r:id="rId3"/>
    <sheet name="أبريل" sheetId="11" r:id="rId4"/>
    <sheet name="مايو" sheetId="12" r:id="rId5"/>
    <sheet name="يونيو" sheetId="13" r:id="rId6"/>
    <sheet name="يوليو" sheetId="14" r:id="rId7"/>
    <sheet name="أغسطس" sheetId="15" r:id="rId8"/>
    <sheet name="سبتمبر" sheetId="16" r:id="rId9"/>
    <sheet name="أكتوبر" sheetId="17" r:id="rId10"/>
    <sheet name="نوفمبر" sheetId="18" r:id="rId11"/>
    <sheet name="ديسمبر" sheetId="19" r:id="rId12"/>
  </sheets>
  <definedNames>
    <definedName name="AprSun1">DATE(CalendarYear,4,1)-WEEKDAY(DATE(CalendarYear,4,1))</definedName>
    <definedName name="AugSun1">DATE(CalendarYear,8,1)-WEEKDAY(DATE(CalendarYear,8,1))</definedName>
    <definedName name="CalendarYear">يناير!$L$2</definedName>
    <definedName name="DecSun1">DATE(CalendarYear,12,1)-WEEKDAY(DATE(CalendarYear,12,1))</definedName>
    <definedName name="FebSun1">DATE(CalendarYear,2,1)-WEEKDAY(DATE(CalendarYear,2,1))</definedName>
    <definedName name="JanSun1">DATE(CalendarYear,1,1)-WEEKDAY(DATE(CalendarYear,1,1))</definedName>
    <definedName name="JulSun1">DATE(CalendarYear,7,1)-WEEKDAY(DATE(CalendarYear,7,1))</definedName>
    <definedName name="JunSun1">DATE(CalendarYear,6,1)-WEEKDAY(DATE(CalendarYear,6,1))</definedName>
    <definedName name="MarSun1">DATE(CalendarYear,3,1)-WEEKDAY(DATE(CalendarYear,3,1))</definedName>
    <definedName name="MaySun1">DATE(CalendarYear,5,1)-WEEKDAY(DATE(CalendarYear,5,1))</definedName>
    <definedName name="NovSun1">DATE(CalendarYear,11,1)-WEEKDAY(DATE(CalendarYear,11,1))</definedName>
    <definedName name="OctSun1">DATE(CalendarYear,10,1)-WEEKDAY(DATE(CalendarYear,10,1))</definedName>
    <definedName name="_xlnm.Print_Area" localSheetId="3">أبريل!$A$2:$K$19</definedName>
    <definedName name="_xlnm.Print_Area" localSheetId="7">أغسطس!$A$2:$K$19</definedName>
    <definedName name="_xlnm.Print_Area" localSheetId="9">أكتوبر!$A$2:$K$19</definedName>
    <definedName name="_xlnm.Print_Area" localSheetId="11">ديسمبر!$A$2:$K$19</definedName>
    <definedName name="_xlnm.Print_Area" localSheetId="8">سبتمبر!$A$2:$K$19</definedName>
    <definedName name="_xlnm.Print_Area" localSheetId="1">فبراير!$A$2:$K$19</definedName>
    <definedName name="_xlnm.Print_Area" localSheetId="2">مارس!$A$2:$K$19</definedName>
    <definedName name="_xlnm.Print_Area" localSheetId="4">مايو!$A$2:$K$19</definedName>
    <definedName name="_xlnm.Print_Area" localSheetId="10">نوفمبر!$A$2:$K$19</definedName>
    <definedName name="_xlnm.Print_Area" localSheetId="0">يناير!$A$2:$K$19</definedName>
    <definedName name="_xlnm.Print_Area" localSheetId="6">يوليو!$A$2:$K$19</definedName>
    <definedName name="_xlnm.Print_Area" localSheetId="5">يونيو!$A$2:$K$19</definedName>
    <definedName name="SepSun1">DATE(CalendarYear,9,1)-WEEKDAY(DATE(CalendarYear,9,1))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<sst xmlns="http://schemas.openxmlformats.org/spreadsheetml/2006/main" count="97" uniqueCount="9">
  <si>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اختر السنة:</t>
  </si>
  <si>
    <t>السبت</t>
  </si>
  <si>
    <t>الأحد</t>
  </si>
  <si>
    <t>الاثنين</t>
  </si>
  <si>
    <t>الثلاثاء</t>
  </si>
  <si>
    <t>الأربعاء</t>
  </si>
  <si>
    <t>الخميس</t>
  </si>
  <si>
    <t>الجمعة</t>
  </si>
  <si>
    <t>ملاحظات: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</si>
</sst>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37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sz val="40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b/>
      <sz val="12"/>
      <color theme="8"/>
      <name val="Arial"/>
      <family val="2"/>
    </font>
    <font>
      <b/>
      <sz val="11"/>
      <color theme="8"/>
      <name val="Arial"/>
      <family val="2"/>
    </font>
    <font>
      <sz val="12"/>
      <color theme="1"/>
      <name val="Tahoma"/>
      <family val="2"/>
    </font>
    <font>
      <sz val="11"/>
      <name val="Tahoma"/>
      <family val="2"/>
    </font>
    <font>
      <sz val="40"/>
      <color theme="8"/>
      <name val="Tahoma"/>
      <family val="2"/>
    </font>
    <font>
      <b/>
      <sz val="12"/>
      <color theme="8"/>
      <name val="Tahoma"/>
      <family val="2"/>
    </font>
    <font>
      <sz val="11"/>
      <color theme="8"/>
      <name val="Tahoma"/>
      <family val="2"/>
    </font>
    <font>
      <sz val="28"/>
      <color theme="8" tint="-0.499984740745262"/>
      <name val="Tahoma"/>
      <family val="2"/>
    </font>
    <font>
      <sz val="10"/>
      <name val="Tahoma"/>
      <family val="2"/>
    </font>
    <font>
      <sz val="10"/>
      <color theme="9"/>
      <name val="Tahoma"/>
      <family val="2"/>
    </font>
    <font>
      <b/>
      <sz val="11"/>
      <color theme="8"/>
      <name val="Tahoma"/>
      <family val="2"/>
    </font>
    <font>
      <sz val="11"/>
      <color theme="0" tint="-0.499984740745262"/>
      <name val="Tahoma"/>
      <family val="2"/>
    </font>
    <font>
      <u/>
      <sz val="12"/>
      <color theme="10"/>
      <name val="Tahoma"/>
      <family val="2"/>
    </font>
    <font>
      <sz val="12"/>
      <color theme="8"/>
      <name val="Tahoma"/>
      <family val="2"/>
    </font>
    <font>
      <sz val="24"/>
      <color theme="8"/>
      <name val="Tahoma"/>
      <family val="2"/>
    </font>
    <font>
      <b/>
      <sz val="11"/>
      <name val="Tahoma"/>
      <family val="2"/>
    </font>
    <font>
      <sz val="12"/>
      <color theme="1"/>
      <name val="Arial"/>
      <family val="2"/>
    </font>
    <font>
      <sz val="11"/>
      <name val="Arial"/>
      <family val="2"/>
    </font>
    <font>
      <sz val="40"/>
      <color theme="8"/>
      <name val="Arial"/>
      <family val="2"/>
    </font>
    <font>
      <sz val="11"/>
      <color theme="8"/>
      <name val="Arial"/>
      <family val="2"/>
    </font>
    <font>
      <sz val="28"/>
      <color theme="8" tint="-0.499984740745262"/>
      <name val="Arial"/>
      <family val="2"/>
    </font>
    <font>
      <sz val="10"/>
      <name val="Arial"/>
      <family val="2"/>
    </font>
    <font>
      <sz val="10"/>
      <color theme="9"/>
      <name val="Arial"/>
      <family val="2"/>
    </font>
    <font>
      <sz val="11"/>
      <color theme="0" tint="-0.499984740745262"/>
      <name val="Arial"/>
      <family val="2"/>
    </font>
    <font>
      <u/>
      <sz val="12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/>
      <right/>
      <top/>
      <bottom style="thin">
        <color rgb="FFA1A974"/>
      </bottom>
      <diagonal/>
    </border>
    <border>
      <left style="thin">
        <color rgb="FFA1A974"/>
      </left>
      <right/>
      <top/>
      <bottom/>
      <diagonal/>
    </border>
    <border>
      <left/>
      <right style="thin">
        <color rgb="FFA1A974"/>
      </right>
      <top style="thin">
        <color rgb="FFA1A974"/>
      </top>
      <bottom style="thin">
        <color rgb="FFA1A974"/>
      </bottom>
      <diagonal/>
    </border>
    <border>
      <left/>
      <right/>
      <top style="thin">
        <color rgb="FFA1A974"/>
      </top>
      <bottom style="thin">
        <color rgb="FFA1A974"/>
      </bottom>
      <diagonal/>
    </border>
    <border>
      <left style="thin">
        <color theme="8"/>
      </left>
      <right style="thin">
        <color theme="8"/>
      </right>
      <top style="thin">
        <color rgb="FFA1A974"/>
      </top>
      <bottom/>
      <diagonal/>
    </border>
    <border>
      <left style="thin">
        <color rgb="FFA1A974"/>
      </left>
      <right/>
      <top style="thin">
        <color rgb="FFA1A974"/>
      </top>
      <bottom style="thin">
        <color rgb="FFA1A97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rgb="FFA19574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0" fillId="0" borderId="4" xfId="1" applyFont="1" applyFill="1" applyBorder="1" applyAlignment="1">
      <alignment horizontal="center" vertical="top" wrapText="1"/>
    </xf>
    <xf numFmtId="164" fontId="11" fillId="0" borderId="6" xfId="1" applyNumberFormat="1" applyFont="1" applyFill="1" applyBorder="1" applyAlignment="1">
      <alignment horizontal="left" vertical="top" wrapText="1"/>
    </xf>
    <xf numFmtId="164" fontId="11" fillId="0" borderId="7" xfId="1" applyNumberFormat="1" applyFont="1" applyFill="1" applyBorder="1" applyAlignment="1">
      <alignment horizontal="left" vertical="top" wrapText="1"/>
    </xf>
    <xf numFmtId="0" fontId="12" fillId="0" borderId="14" xfId="2" applyFont="1" applyFill="1" applyBorder="1" applyAlignment="1">
      <alignment horizontal="center" vertical="center"/>
    </xf>
    <xf numFmtId="0" fontId="12" fillId="0" borderId="12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0" fontId="12" fillId="0" borderId="11" xfId="2" applyFont="1" applyFill="1" applyBorder="1" applyAlignment="1">
      <alignment horizontal="center" vertical="center"/>
    </xf>
    <xf numFmtId="164" fontId="11" fillId="4" borderId="6" xfId="1" applyNumberFormat="1" applyFont="1" applyFill="1" applyBorder="1" applyAlignment="1">
      <alignment horizontal="left" vertical="top" wrapText="1" readingOrder="2"/>
    </xf>
    <xf numFmtId="0" fontId="10" fillId="4" borderId="4" xfId="1" applyFont="1" applyFill="1" applyBorder="1" applyAlignment="1">
      <alignment horizontal="center" vertical="top" wrapText="1" readingOrder="2"/>
    </xf>
    <xf numFmtId="0" fontId="10" fillId="4" borderId="4" xfId="3" applyFont="1" applyFill="1" applyBorder="1" applyAlignment="1">
      <alignment horizontal="center" vertical="top" wrapText="1" readingOrder="2"/>
    </xf>
    <xf numFmtId="164" fontId="11" fillId="0" borderId="5" xfId="1" applyNumberFormat="1" applyFont="1" applyFill="1" applyBorder="1" applyAlignment="1">
      <alignment horizontal="left" vertical="top" wrapText="1" readingOrder="2"/>
    </xf>
    <xf numFmtId="0" fontId="10" fillId="0" borderId="4" xfId="1" applyFont="1" applyFill="1" applyBorder="1" applyAlignment="1">
      <alignment horizontal="center" vertical="top" wrapText="1" readingOrder="2"/>
    </xf>
    <xf numFmtId="0" fontId="10" fillId="0" borderId="4" xfId="3" applyFont="1" applyFill="1" applyBorder="1" applyAlignment="1">
      <alignment horizontal="center" vertical="top" wrapText="1" readingOrder="2"/>
    </xf>
    <xf numFmtId="164" fontId="11" fillId="0" borderId="6" xfId="1" applyNumberFormat="1" applyFont="1" applyFill="1" applyBorder="1" applyAlignment="1">
      <alignment horizontal="left" vertical="top" wrapText="1" readingOrder="2"/>
    </xf>
    <xf numFmtId="164" fontId="11" fillId="0" borderId="7" xfId="1" applyNumberFormat="1" applyFont="1" applyFill="1" applyBorder="1" applyAlignment="1">
      <alignment horizontal="left" vertical="top" wrapText="1" readingOrder="2"/>
    </xf>
    <xf numFmtId="164" fontId="11" fillId="4" borderId="5" xfId="1" applyNumberFormat="1" applyFont="1" applyFill="1" applyBorder="1" applyAlignment="1">
      <alignment horizontal="left" vertical="top" wrapText="1" readingOrder="2"/>
    </xf>
    <xf numFmtId="0" fontId="14" fillId="0" borderId="0" xfId="0" applyFont="1"/>
    <xf numFmtId="0" fontId="15" fillId="0" borderId="0" xfId="1" applyFont="1"/>
    <xf numFmtId="0" fontId="17" fillId="0" borderId="14" xfId="2" applyFont="1" applyFill="1" applyBorder="1" applyAlignment="1">
      <alignment horizontal="center" vertical="center"/>
    </xf>
    <xf numFmtId="0" fontId="17" fillId="0" borderId="12" xfId="2" applyFont="1" applyFill="1" applyBorder="1" applyAlignment="1">
      <alignment horizontal="center" vertical="center"/>
    </xf>
    <xf numFmtId="0" fontId="17" fillId="0" borderId="0" xfId="2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166" fontId="14" fillId="0" borderId="0" xfId="0" applyNumberFormat="1" applyFont="1"/>
    <xf numFmtId="164" fontId="18" fillId="4" borderId="5" xfId="1" applyNumberFormat="1" applyFont="1" applyFill="1" applyBorder="1" applyAlignment="1">
      <alignment horizontal="left" vertical="top" wrapText="1" readingOrder="2"/>
    </xf>
    <xf numFmtId="166" fontId="19" fillId="0" borderId="0" xfId="0" applyNumberFormat="1" applyFont="1" applyFill="1" applyBorder="1" applyAlignment="1">
      <alignment vertical="center" textRotation="90"/>
    </xf>
    <xf numFmtId="0" fontId="20" fillId="0" borderId="0" xfId="1" applyFont="1"/>
    <xf numFmtId="0" fontId="21" fillId="4" borderId="4" xfId="1" applyFont="1" applyFill="1" applyBorder="1" applyAlignment="1">
      <alignment horizontal="center" vertical="top" wrapText="1" readingOrder="2"/>
    </xf>
    <xf numFmtId="0" fontId="21" fillId="4" borderId="4" xfId="3" applyFont="1" applyFill="1" applyBorder="1" applyAlignment="1">
      <alignment horizontal="center" vertical="top" wrapText="1" readingOrder="2"/>
    </xf>
    <xf numFmtId="164" fontId="18" fillId="0" borderId="5" xfId="1" applyNumberFormat="1" applyFont="1" applyFill="1" applyBorder="1" applyAlignment="1">
      <alignment horizontal="left" vertical="top" wrapText="1" readingOrder="2"/>
    </xf>
    <xf numFmtId="0" fontId="21" fillId="0" borderId="4" xfId="1" applyFont="1" applyFill="1" applyBorder="1" applyAlignment="1">
      <alignment horizontal="center" vertical="top" wrapText="1" readingOrder="2"/>
    </xf>
    <xf numFmtId="0" fontId="21" fillId="0" borderId="4" xfId="3" applyFont="1" applyFill="1" applyBorder="1" applyAlignment="1">
      <alignment horizontal="center" vertical="top" wrapText="1" readingOrder="2"/>
    </xf>
    <xf numFmtId="164" fontId="18" fillId="4" borderId="6" xfId="1" applyNumberFormat="1" applyFont="1" applyFill="1" applyBorder="1" applyAlignment="1">
      <alignment horizontal="left" vertical="top" wrapText="1" readingOrder="2"/>
    </xf>
    <xf numFmtId="164" fontId="18" fillId="0" borderId="6" xfId="1" applyNumberFormat="1" applyFont="1" applyFill="1" applyBorder="1" applyAlignment="1">
      <alignment horizontal="left" vertical="top" wrapText="1" readingOrder="2"/>
    </xf>
    <xf numFmtId="164" fontId="18" fillId="0" borderId="6" xfId="1" applyNumberFormat="1" applyFont="1" applyFill="1" applyBorder="1" applyAlignment="1">
      <alignment horizontal="left" vertical="top" wrapText="1"/>
    </xf>
    <xf numFmtId="164" fontId="18" fillId="0" borderId="7" xfId="1" applyNumberFormat="1" applyFont="1" applyFill="1" applyBorder="1" applyAlignment="1">
      <alignment horizontal="left" vertical="top" wrapText="1"/>
    </xf>
    <xf numFmtId="0" fontId="21" fillId="0" borderId="4" xfId="1" applyFont="1" applyFill="1" applyBorder="1" applyAlignment="1">
      <alignment horizontal="center" vertical="top" wrapText="1"/>
    </xf>
    <xf numFmtId="0" fontId="23" fillId="0" borderId="0" xfId="1" applyFont="1" applyAlignment="1">
      <alignment horizontal="right"/>
    </xf>
    <xf numFmtId="0" fontId="23" fillId="0" borderId="0" xfId="1" applyFont="1" applyAlignment="1">
      <alignment horizontal="center"/>
    </xf>
    <xf numFmtId="0" fontId="24" fillId="0" borderId="0" xfId="5" applyFont="1"/>
    <xf numFmtId="0" fontId="14" fillId="0" borderId="0" xfId="0" applyFont="1" applyBorder="1"/>
    <xf numFmtId="0" fontId="15" fillId="0" borderId="0" xfId="1" applyFont="1" applyBorder="1"/>
    <xf numFmtId="0" fontId="25" fillId="0" borderId="0" xfId="1" applyFont="1" applyAlignment="1">
      <alignment horizontal="center"/>
    </xf>
    <xf numFmtId="0" fontId="26" fillId="0" borderId="0" xfId="0" applyFont="1" applyAlignment="1">
      <alignment horizontal="center" vertical="center" readingOrder="2"/>
    </xf>
    <xf numFmtId="0" fontId="15" fillId="0" borderId="9" xfId="1" applyFont="1" applyBorder="1"/>
    <xf numFmtId="0" fontId="15" fillId="0" borderId="10" xfId="1" applyFont="1" applyBorder="1"/>
    <xf numFmtId="164" fontId="18" fillId="4" borderId="13" xfId="1" applyNumberFormat="1" applyFont="1" applyFill="1" applyBorder="1" applyAlignment="1">
      <alignment horizontal="left" vertical="top" wrapText="1" readingOrder="2"/>
    </xf>
    <xf numFmtId="0" fontId="20" fillId="0" borderId="0" xfId="1" applyFont="1" applyBorder="1"/>
    <xf numFmtId="164" fontId="18" fillId="0" borderId="7" xfId="1" applyNumberFormat="1" applyFont="1" applyFill="1" applyBorder="1" applyAlignment="1">
      <alignment horizontal="left" vertical="top" wrapText="1" readingOrder="2"/>
    </xf>
    <xf numFmtId="0" fontId="27" fillId="0" borderId="0" xfId="1" applyFont="1"/>
    <xf numFmtId="0" fontId="15" fillId="0" borderId="0" xfId="1" applyFont="1" applyBorder="1" applyAlignment="1">
      <alignment readingOrder="2"/>
    </xf>
    <xf numFmtId="0" fontId="28" fillId="0" borderId="0" xfId="0" applyFont="1"/>
    <xf numFmtId="0" fontId="29" fillId="0" borderId="0" xfId="1" applyFont="1"/>
    <xf numFmtId="166" fontId="28" fillId="0" borderId="0" xfId="0" applyNumberFormat="1" applyFont="1"/>
    <xf numFmtId="164" fontId="31" fillId="4" borderId="5" xfId="1" applyNumberFormat="1" applyFont="1" applyFill="1" applyBorder="1" applyAlignment="1">
      <alignment horizontal="left" vertical="top" wrapText="1" readingOrder="2"/>
    </xf>
    <xf numFmtId="166" fontId="32" fillId="0" borderId="0" xfId="0" applyNumberFormat="1" applyFont="1" applyFill="1" applyBorder="1" applyAlignment="1">
      <alignment vertical="center" textRotation="90"/>
    </xf>
    <xf numFmtId="0" fontId="33" fillId="0" borderId="0" xfId="1" applyFont="1"/>
    <xf numFmtId="0" fontId="34" fillId="4" borderId="4" xfId="1" applyFont="1" applyFill="1" applyBorder="1" applyAlignment="1">
      <alignment horizontal="center" vertical="top" wrapText="1" readingOrder="2"/>
    </xf>
    <xf numFmtId="0" fontId="34" fillId="4" borderId="4" xfId="3" applyFont="1" applyFill="1" applyBorder="1" applyAlignment="1">
      <alignment horizontal="center" vertical="top" wrapText="1" readingOrder="2"/>
    </xf>
    <xf numFmtId="164" fontId="31" fillId="0" borderId="5" xfId="1" applyNumberFormat="1" applyFont="1" applyFill="1" applyBorder="1" applyAlignment="1">
      <alignment horizontal="left" vertical="top" wrapText="1" readingOrder="2"/>
    </xf>
    <xf numFmtId="0" fontId="34" fillId="0" borderId="4" xfId="1" applyFont="1" applyFill="1" applyBorder="1" applyAlignment="1">
      <alignment horizontal="center" vertical="top" wrapText="1" readingOrder="2"/>
    </xf>
    <xf numFmtId="0" fontId="34" fillId="0" borderId="4" xfId="3" applyFont="1" applyFill="1" applyBorder="1" applyAlignment="1">
      <alignment horizontal="center" vertical="top" wrapText="1" readingOrder="2"/>
    </xf>
    <xf numFmtId="164" fontId="31" fillId="4" borderId="6" xfId="1" applyNumberFormat="1" applyFont="1" applyFill="1" applyBorder="1" applyAlignment="1">
      <alignment horizontal="left" vertical="top" wrapText="1" readingOrder="2"/>
    </xf>
    <xf numFmtId="164" fontId="31" fillId="0" borderId="6" xfId="1" applyNumberFormat="1" applyFont="1" applyFill="1" applyBorder="1" applyAlignment="1">
      <alignment horizontal="left" vertical="top" wrapText="1" readingOrder="2"/>
    </xf>
    <xf numFmtId="164" fontId="31" fillId="0" borderId="6" xfId="1" applyNumberFormat="1" applyFont="1" applyFill="1" applyBorder="1" applyAlignment="1">
      <alignment horizontal="left" vertical="top" wrapText="1"/>
    </xf>
    <xf numFmtId="164" fontId="31" fillId="0" borderId="7" xfId="1" applyNumberFormat="1" applyFont="1" applyFill="1" applyBorder="1" applyAlignment="1">
      <alignment horizontal="left" vertical="top" wrapText="1"/>
    </xf>
    <xf numFmtId="0" fontId="34" fillId="0" borderId="4" xfId="1" applyFont="1" applyFill="1" applyBorder="1" applyAlignment="1">
      <alignment horizontal="center" vertical="top" wrapText="1"/>
    </xf>
    <xf numFmtId="0" fontId="35" fillId="0" borderId="0" xfId="1" applyFont="1" applyAlignment="1">
      <alignment horizontal="right"/>
    </xf>
    <xf numFmtId="0" fontId="35" fillId="0" borderId="0" xfId="1" applyFont="1" applyAlignment="1">
      <alignment horizontal="center"/>
    </xf>
    <xf numFmtId="0" fontId="36" fillId="0" borderId="0" xfId="5" applyFont="1"/>
    <xf numFmtId="0" fontId="22" fillId="0" borderId="8" xfId="2" applyFont="1" applyFill="1" applyBorder="1" applyAlignment="1">
      <alignment horizontal="left" vertical="top" wrapText="1" readingOrder="2"/>
    </xf>
    <xf numFmtId="0" fontId="22" fillId="0" borderId="2" xfId="2" applyFont="1" applyFill="1" applyBorder="1" applyAlignment="1">
      <alignment horizontal="left" vertical="top" wrapText="1" readingOrder="2"/>
    </xf>
    <xf numFmtId="0" fontId="22" fillId="0" borderId="3" xfId="2" applyFont="1" applyFill="1" applyBorder="1" applyAlignment="1">
      <alignment horizontal="left" vertical="top" wrapText="1" readingOrder="2"/>
    </xf>
    <xf numFmtId="164" fontId="22" fillId="0" borderId="15" xfId="2" applyNumberFormat="1" applyFont="1" applyFill="1" applyBorder="1" applyAlignment="1">
      <alignment horizontal="right" vertical="center" wrapText="1" readingOrder="2"/>
    </xf>
    <xf numFmtId="164" fontId="22" fillId="0" borderId="16" xfId="2" applyNumberFormat="1" applyFont="1" applyFill="1" applyBorder="1" applyAlignment="1">
      <alignment horizontal="right" vertical="center" wrapText="1" readingOrder="2"/>
    </xf>
    <xf numFmtId="164" fontId="22" fillId="0" borderId="17" xfId="2" applyNumberFormat="1" applyFont="1" applyFill="1" applyBorder="1" applyAlignment="1">
      <alignment horizontal="right" vertical="center" wrapText="1" readingOrder="2"/>
    </xf>
    <xf numFmtId="165" fontId="16" fillId="0" borderId="9" xfId="1" applyNumberFormat="1" applyFont="1" applyBorder="1" applyAlignment="1">
      <alignment horizontal="right" vertical="center" readingOrder="2"/>
    </xf>
    <xf numFmtId="165" fontId="30" fillId="0" borderId="9" xfId="1" applyNumberFormat="1" applyFont="1" applyBorder="1" applyAlignment="1">
      <alignment horizontal="right" vertical="center" readingOrder="2"/>
    </xf>
    <xf numFmtId="164" fontId="13" fillId="0" borderId="15" xfId="2" applyNumberFormat="1" applyFont="1" applyFill="1" applyBorder="1" applyAlignment="1">
      <alignment horizontal="right" vertical="center" wrapText="1" readingOrder="2"/>
    </xf>
    <xf numFmtId="164" fontId="13" fillId="0" borderId="16" xfId="2" applyNumberFormat="1" applyFont="1" applyFill="1" applyBorder="1" applyAlignment="1">
      <alignment horizontal="right" vertical="center" wrapText="1" readingOrder="2"/>
    </xf>
    <xf numFmtId="164" fontId="13" fillId="0" borderId="17" xfId="2" applyNumberFormat="1" applyFont="1" applyFill="1" applyBorder="1" applyAlignment="1">
      <alignment horizontal="right" vertical="center" wrapText="1" readingOrder="2"/>
    </xf>
    <xf numFmtId="0" fontId="13" fillId="0" borderId="8" xfId="2" applyFont="1" applyFill="1" applyBorder="1" applyAlignment="1">
      <alignment horizontal="right" vertical="top" wrapText="1" readingOrder="2"/>
    </xf>
    <xf numFmtId="0" fontId="13" fillId="0" borderId="2" xfId="2" applyFont="1" applyFill="1" applyBorder="1" applyAlignment="1">
      <alignment horizontal="right" vertical="top" wrapText="1" readingOrder="2"/>
    </xf>
    <xf numFmtId="0" fontId="13" fillId="0" borderId="3" xfId="2" applyFont="1" applyFill="1" applyBorder="1" applyAlignment="1">
      <alignment horizontal="right" vertical="top" wrapText="1" readingOrder="2"/>
    </xf>
    <xf numFmtId="165" fontId="9" fillId="0" borderId="18" xfId="1" applyNumberFormat="1" applyFont="1" applyBorder="1" applyAlignment="1">
      <alignment horizontal="right" vertical="center"/>
    </xf>
    <xf numFmtId="0" fontId="13" fillId="0" borderId="8" xfId="2" applyFont="1" applyFill="1" applyBorder="1" applyAlignment="1">
      <alignment horizontal="left" vertical="top" wrapText="1" readingOrder="2"/>
    </xf>
    <xf numFmtId="0" fontId="13" fillId="0" borderId="2" xfId="2" applyFont="1" applyFill="1" applyBorder="1" applyAlignment="1">
      <alignment horizontal="left" vertical="top" wrapText="1" readingOrder="2"/>
    </xf>
    <xf numFmtId="0" fontId="13" fillId="0" borderId="3" xfId="2" applyFont="1" applyFill="1" applyBorder="1" applyAlignment="1">
      <alignment horizontal="left" vertical="top" wrapText="1" readingOrder="2"/>
    </xf>
    <xf numFmtId="165" fontId="9" fillId="0" borderId="0" xfId="1" applyNumberFormat="1" applyFont="1" applyBorder="1" applyAlignment="1">
      <alignment horizontal="right" vertical="center"/>
    </xf>
    <xf numFmtId="165" fontId="9" fillId="0" borderId="2" xfId="1" applyNumberFormat="1" applyFont="1" applyBorder="1" applyAlignment="1">
      <alignment horizontal="right" vertical="center"/>
    </xf>
    <xf numFmtId="165" fontId="9" fillId="0" borderId="9" xfId="1" applyNumberFormat="1" applyFont="1" applyBorder="1" applyAlignment="1">
      <alignment horizontal="right" vertical="center"/>
    </xf>
    <xf numFmtId="165" fontId="16" fillId="0" borderId="2" xfId="1" applyNumberFormat="1" applyFont="1" applyBorder="1" applyAlignment="1">
      <alignment horizontal="righ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A19574"/>
      <color rgb="FFA1A974"/>
      <color rgb="FFC17529"/>
      <color rgb="FFFDFDFD"/>
      <color rgb="FFEAE8EA"/>
      <color rgb="FFEAE8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3.jpg"/><Relationship Id="rId4" Type="http://schemas.openxmlformats.org/officeDocument/2006/relationships/image" Target="../media/image24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6.png"/><Relationship Id="rId1" Type="http://schemas.openxmlformats.org/officeDocument/2006/relationships/image" Target="../media/image25.jpg"/><Relationship Id="rId4" Type="http://schemas.openxmlformats.org/officeDocument/2006/relationships/image" Target="../media/image27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8.jpg"/><Relationship Id="rId1" Type="http://schemas.openxmlformats.org/officeDocument/2006/relationships/image" Target="../media/image26.png"/><Relationship Id="rId4" Type="http://schemas.openxmlformats.org/officeDocument/2006/relationships/image" Target="../media/image2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3.pn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9.jpg"/><Relationship Id="rId1" Type="http://schemas.openxmlformats.org/officeDocument/2006/relationships/image" Target="../media/image3.pn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1.jpg"/><Relationship Id="rId1" Type="http://schemas.openxmlformats.org/officeDocument/2006/relationships/image" Target="../media/image3.png"/><Relationship Id="rId4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3.jpg"/><Relationship Id="rId1" Type="http://schemas.openxmlformats.org/officeDocument/2006/relationships/image" Target="../media/image3.pn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5.jpg"/><Relationship Id="rId1" Type="http://schemas.openxmlformats.org/officeDocument/2006/relationships/image" Target="../media/image3.png"/><Relationship Id="rId4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7.jpg"/><Relationship Id="rId1" Type="http://schemas.openxmlformats.org/officeDocument/2006/relationships/image" Target="../media/image3.png"/><Relationship Id="rId4" Type="http://schemas.openxmlformats.org/officeDocument/2006/relationships/image" Target="../media/image1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19.jpg"/><Relationship Id="rId4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1.jpg"/><Relationship Id="rId4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564857</xdr:colOff>
      <xdr:row>1</xdr:row>
      <xdr:rowOff>161970</xdr:rowOff>
    </xdr:from>
    <xdr:to>
      <xdr:col>7</xdr:col>
      <xdr:colOff>934247</xdr:colOff>
      <xdr:row>2</xdr:row>
      <xdr:rowOff>521635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4910" y="350255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لحم مطهو على الطريقة الفرنسية في قدر صغير" title="Jan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أنواع مختلفة من التوابل موزّعة في ستة أوعية مستطيلة الشكل." title="Jan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11</xdr:col>
      <xdr:colOff>166134</xdr:colOff>
      <xdr:row>2</xdr:row>
      <xdr:rowOff>387646</xdr:rowOff>
    </xdr:from>
    <xdr:to>
      <xdr:col>13</xdr:col>
      <xdr:colOff>155059</xdr:colOff>
      <xdr:row>5</xdr:row>
      <xdr:rowOff>232588</xdr:rowOff>
    </xdr:to>
    <xdr:sp macro="" textlink="">
      <xdr:nvSpPr>
        <xdr:cNvPr id="10" name="Rectangle 9" descr="قم بتخصيص هذا التقويم!&#10;&#10;انقر بزر الماوس الأيمن فوق أي صورة ثم انقر فوق &quot;تغيير الصورة&quot; لاستبدالها بصورة خاصة بك." title="Photo placeholder instructions"/>
        <xdr:cNvSpPr/>
      </xdr:nvSpPr>
      <xdr:spPr>
        <a:xfrm flipH="1">
          <a:off x="9428398778" y="919274"/>
          <a:ext cx="1971454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r" rtl="1"/>
          <a:r>
            <a:rPr lang="ar-SA" sz="11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قم بتخصيص هذا التقويم!</a:t>
          </a:r>
          <a:endParaRPr lang="en-US" sz="11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-SA" sz="1100" b="0" i="0" baseline="0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انقر بزر الماوس الأيمن فوق أي صورة</a:t>
          </a:r>
          <a:r>
            <a:rPr lang="ar-SA" sz="1100" b="0" i="0" u="none" strike="noStrike" baseline="0" smtClean="0">
              <a:solidFill>
                <a:schemeClr val="dk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ثم انقر فوق "تغيير الصورة" لاستبدالها بصورة خاصة بك.</a:t>
          </a:r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8</xdr:col>
      <xdr:colOff>310116</xdr:colOff>
      <xdr:row>11</xdr:row>
      <xdr:rowOff>675610</xdr:rowOff>
    </xdr:from>
    <xdr:to>
      <xdr:col>9</xdr:col>
      <xdr:colOff>1063557</xdr:colOff>
      <xdr:row>17</xdr:row>
      <xdr:rowOff>41520</xdr:rowOff>
    </xdr:to>
    <xdr:sp macro="" textlink="">
      <xdr:nvSpPr>
        <xdr:cNvPr id="14" name="TextBox 6"/>
        <xdr:cNvSpPr txBox="1"/>
      </xdr:nvSpPr>
      <xdr:spPr>
        <a:xfrm flipH="1">
          <a:off x="9430735425" y="5183372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algn="r" rtl="1" eaLnBrk="1" fontAlgn="auto" latinLnBrk="0" hangingPunct="1"/>
          <a:r>
            <a:rPr lang="ar-SA" sz="1200" b="0" i="0" baseline="0">
              <a:solidFill>
                <a:schemeClr val="accent5"/>
              </a:solidFill>
              <a:effectLst/>
              <a:latin typeface="Arial" pitchFamily="34" charset="0"/>
              <a:ea typeface="+mn-ea"/>
              <a:cs typeface="Arial" pitchFamily="34" charset="0"/>
            </a:rPr>
            <a:t>هاتف:</a:t>
          </a: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555.555.5555</a:t>
          </a:r>
          <a:r>
            <a:rPr lang="en-US" sz="1200" b="0" i="0" baseline="0">
              <a:solidFill>
                <a:schemeClr val="accent5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endParaRPr lang="ar-SA" sz="1200" i="0">
            <a:solidFill>
              <a:schemeClr val="accent5"/>
            </a:solidFill>
            <a:effectLst/>
            <a:latin typeface="Arial" pitchFamily="34" charset="0"/>
            <a:cs typeface="Arial" pitchFamily="34" charset="0"/>
          </a:endParaRPr>
        </a:p>
        <a:p>
          <a:pPr algn="r" eaLnBrk="1" fontAlgn="auto" latinLnBrk="0" hangingPunct="1"/>
          <a:r>
            <a:rPr lang="ar-SA" sz="1200" b="0" i="0" baseline="0">
              <a:solidFill>
                <a:schemeClr val="accent5"/>
              </a:solidFill>
              <a:effectLst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algn="r" eaLnBrk="1" fontAlgn="auto" latinLnBrk="0" hangingPunct="1"/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طبق من المحار المحمّر مع أوراق سلق ملوّن.لتغيير هذه الصورة، انقر بزر الماوس الأيمن فوقها ثم انقر فوق &quot;تغيير الصورة&quot;." title="Octo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566191</xdr:colOff>
      <xdr:row>1</xdr:row>
      <xdr:rowOff>157905</xdr:rowOff>
    </xdr:from>
    <xdr:to>
      <xdr:col>7</xdr:col>
      <xdr:colOff>935581</xdr:colOff>
      <xdr:row>2</xdr:row>
      <xdr:rowOff>517569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3576" y="357265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وعاء يحتوي على سلق ملوّن طازج.لتغيير هذه الصورة، انقر بزر الماوس الأيمن فوقها ثم انقر فوق &quot;تغيير الصورة&quot;." title="Octo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وعاءان من حساء الجزر مزينان بلبن على شكل خط لولبي مع رشة من البقدونس المفروملتغيير هذه الصورة، انقر بزر الماوس الأيمن فوقها ثم انقر فوق &quot;تغيير الصورة&quot;." title="Nov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157905</xdr:rowOff>
    </xdr:from>
    <xdr:to>
      <xdr:col>7</xdr:col>
      <xdr:colOff>935582</xdr:colOff>
      <xdr:row>2</xdr:row>
      <xdr:rowOff>517569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3575" y="357265"/>
          <a:ext cx="1554479" cy="691932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باقة من الجزر الطازج.لتغيير هذه الصورة، انقر بزر الماوس الأيمن فوقها ثم انقر فوق &quot;تغيير الصورة&quot;." title="Nov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157905</xdr:rowOff>
    </xdr:from>
    <xdr:to>
      <xdr:col>7</xdr:col>
      <xdr:colOff>935582</xdr:colOff>
      <xdr:row>2</xdr:row>
      <xdr:rowOff>517570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3575" y="357265"/>
          <a:ext cx="1554479" cy="691932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صينية عليها أوعية من المثلجات بالكريما والشوكولا مع رقائق شوكولا على وجهها.لتغيير هذه الصورة، انقر بزر الماوس الأيمن فوقها ثم انقر فوق &quot;تغيير الصورة&quot;." title="December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قطع من كعكة البراونيز المخبوزة الطازجة.لتغيير هذه الصورة، انقر بزر الماوس الأيمن فوقها ثم انقر فوق &quot;تغيير الصورة&quot;." title="Dec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566185</xdr:colOff>
      <xdr:row>1</xdr:row>
      <xdr:rowOff>162189</xdr:rowOff>
    </xdr:from>
    <xdr:to>
      <xdr:col>7</xdr:col>
      <xdr:colOff>935575</xdr:colOff>
      <xdr:row>2</xdr:row>
      <xdr:rowOff>521854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3582" y="350474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وعاء يحتوي على يخنة لحم وخضار طازج.لتغيير هذه الصورة، انقر بزر الماوس الأيمن فوقها ثم انقر فوق &quot;تغيير الصورة&quot;." title="Febr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فطر طازج.لتغيير هذه الصورة، انقر بزر الماوس الأيمن فوقها ثم انقر فوق &quot;تغيير الصورة&quot;." title="Febr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algn="r" rtl="1" eaLnBrk="1" fontAlgn="auto" latinLnBrk="0" hangingPunct="1"/>
          <a:r>
            <a:rPr lang="ar-SA" sz="1200" b="0" i="0" baseline="0">
              <a:solidFill>
                <a:schemeClr val="accent5"/>
              </a:solidFill>
              <a:effectLst/>
              <a:latin typeface="Arial" pitchFamily="34" charset="0"/>
              <a:ea typeface="+mn-ea"/>
              <a:cs typeface="Arial" pitchFamily="34" charset="0"/>
            </a:rPr>
            <a:t>هاتف:</a:t>
          </a: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555.555.5555</a:t>
          </a:r>
          <a:r>
            <a:rPr lang="en-US" sz="1200" b="0" i="0" baseline="0">
              <a:solidFill>
                <a:schemeClr val="accent5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endParaRPr lang="ar-SA" sz="1200" i="0">
            <a:solidFill>
              <a:schemeClr val="accent5"/>
            </a:solidFill>
            <a:effectLst/>
            <a:latin typeface="Arial" pitchFamily="34" charset="0"/>
            <a:cs typeface="Arial" pitchFamily="34" charset="0"/>
          </a:endParaRPr>
        </a:p>
        <a:p>
          <a:pPr algn="r" eaLnBrk="1" fontAlgn="auto" latinLnBrk="0" hangingPunct="1"/>
          <a:r>
            <a:rPr lang="ar-SA" sz="1200" b="0" i="0" baseline="0">
              <a:solidFill>
                <a:schemeClr val="accent5"/>
              </a:solidFill>
              <a:effectLst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algn="r" eaLnBrk="1" fontAlgn="auto" latinLnBrk="0" hangingPunct="1"/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566191</xdr:colOff>
      <xdr:row>1</xdr:row>
      <xdr:rowOff>162190</xdr:rowOff>
    </xdr:from>
    <xdr:to>
      <xdr:col>7</xdr:col>
      <xdr:colOff>935581</xdr:colOff>
      <xdr:row>2</xdr:row>
      <xdr:rowOff>521854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3576" y="361550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طبق من سلطة الخضار الطازج مع شرائح فجل ومكسرات على وجهه.لتغيير هذه الصورة، انقر بزر الماوس الأيمن فوقها ثم انقر فوق &quot;تغيير الصورة&quot;." title="March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طبق يحتوي على فجل طازج.لتغيير هذه الصورة، انقر بزر الماوس الأيمن فوقها ثم انقر فوق &quot;تغيير الصورة&quot;." title="March image 2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algn="r" eaLnBrk="1" fontAlgn="auto" latinLnBrk="0" hangingPunct="1"/>
          <a:r>
            <a:rPr lang="ar-SA" sz="1200" b="0" i="0" baseline="0">
              <a:solidFill>
                <a:schemeClr val="accent5"/>
              </a:solidFill>
              <a:effectLst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  <a:endParaRPr lang="ar-SA" sz="1400">
            <a:solidFill>
              <a:schemeClr val="accent5"/>
            </a:solidFill>
            <a:effectLst/>
            <a:latin typeface="Arial" pitchFamily="34" charset="0"/>
            <a:cs typeface="Arial" pitchFamily="34" charset="0"/>
          </a:endParaRPr>
        </a:p>
        <a:p>
          <a:pPr algn="r" eaLnBrk="1" fontAlgn="auto" latinLnBrk="0" hangingPunct="1"/>
          <a:r>
            <a:rPr lang="ar-SA" sz="1200" b="0" i="0" baseline="0">
              <a:solidFill>
                <a:schemeClr val="accent5"/>
              </a:solidFill>
              <a:effectLst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  <a:endParaRPr lang="ar-SA" sz="1400">
            <a:solidFill>
              <a:schemeClr val="accent5"/>
            </a:solidFill>
            <a:effectLst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chemeClr val="accent5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  <a:p>
          <a:pPr algn="r"/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562111</xdr:colOff>
      <xdr:row>1</xdr:row>
      <xdr:rowOff>157905</xdr:rowOff>
    </xdr:from>
    <xdr:to>
      <xdr:col>7</xdr:col>
      <xdr:colOff>931501</xdr:colOff>
      <xdr:row>2</xdr:row>
      <xdr:rowOff>517569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7656" y="357265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قطع من الكيش بالهليون.لتغيير هذه الصورة، انقر بزر الماوس الأيمن فوقها ثم انقر فوق &quot;تغيير الصورة&quot;." title="April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جذور هليون طازجة.لتغيير هذه الصورة، انقر بزر الماوس الأيمن فوقها ثم انقر فوق &quot;تغيير الصورة&quot;." title="April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chemeClr val="accent5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  <a:p>
          <a:pPr algn="r"/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562111</xdr:colOff>
      <xdr:row>1</xdr:row>
      <xdr:rowOff>157905</xdr:rowOff>
    </xdr:from>
    <xdr:to>
      <xdr:col>7</xdr:col>
      <xdr:colOff>931501</xdr:colOff>
      <xdr:row>2</xdr:row>
      <xdr:rowOff>517569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7656" y="357265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وعاء يحتوي على كوكتيل فاكهة.لتغيير هذه الصورة، انقر بزر الماوس الأيمن فوقها ثم انقر فوق &quot;تغيير الصورة&quot;." title="Ma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شرائح من الجريب فروت الطازج.لتغيير هذه الصورة، انقر بزر الماوس الأيمن فوقها ثم انقر فوق &quot;تغيير الصورة&quot;." title="Ma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566191</xdr:colOff>
      <xdr:row>1</xdr:row>
      <xdr:rowOff>157905</xdr:rowOff>
    </xdr:from>
    <xdr:to>
      <xdr:col>7</xdr:col>
      <xdr:colOff>935581</xdr:colOff>
      <xdr:row>2</xdr:row>
      <xdr:rowOff>517569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3576" y="357265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سلطة جاردن مع أوراق خضار طازجة.لتغيير هذه الصورة، انقر بزر الماوس الأيمن فوقها ثم انقر فوق &quot;تغيير الصورة&quot;." title="June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طماطم ناضجة وطازجة.لتغيير هذه الصورة، انقر بزر الماوس الأيمن فوقها ثم انقر فوق &quot;تغيير الصورة&quot;." title="June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  <a:p>
          <a:pPr algn="r"/>
          <a:endParaRPr lang="en-US" sz="12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566191</xdr:colOff>
      <xdr:row>1</xdr:row>
      <xdr:rowOff>157905</xdr:rowOff>
    </xdr:from>
    <xdr:to>
      <xdr:col>7</xdr:col>
      <xdr:colOff>935581</xdr:colOff>
      <xdr:row>2</xdr:row>
      <xdr:rowOff>517569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3576" y="357265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مثلجات بنكهة البطيخ مع شريحة ليمون وأوراق بقدونس على وجهها.لتغيير هذه الصورة، انقر بزر الماوس الأيمن فوقها ثم انقر فوق &quot;تغيير الصورة&quot;." title="Jul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قطع من البطيخ الطازج مصفوفة إلى جانب بعضها على طاولة نزهات.لتغيير هذه الصورة، انقر بزر الماوس الأيمن فوقها ثم انقر فوق &quot;تغيير الصورة&quot;." title="Jul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  <a:p>
          <a:pPr algn="r"/>
          <a:endParaRPr lang="en-US" sz="12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سمك سلمون مشوي مع خضار طازج في طبق مستطيل الشكل." title="August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566191</xdr:colOff>
      <xdr:row>1</xdr:row>
      <xdr:rowOff>157905</xdr:rowOff>
    </xdr:from>
    <xdr:to>
      <xdr:col>7</xdr:col>
      <xdr:colOff>935581</xdr:colOff>
      <xdr:row>2</xdr:row>
      <xdr:rowOff>517569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3576" y="357265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وعاء يحتوي على بازلاء خضراء مقطّعة.لتغيير هذه الصورة، انقر بزر الماوس الأيمن فوقها ثم انقر فوق &quot;تغيير الصورة&quot;." title="August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  <a:p>
          <a:pPr algn="r"/>
          <a:endParaRPr lang="en-US" sz="12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طبق من شرائح التفاح المطبوخة والمصفوفة بشكل لولبي.لتغيير هذه الصورة، انقر بزر الماوس الأيمن فوقها ثم انقر فوق &quot;تغيير الصورة&quot;." title="Sept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566191</xdr:colOff>
      <xdr:row>1</xdr:row>
      <xdr:rowOff>157905</xdr:rowOff>
    </xdr:from>
    <xdr:to>
      <xdr:col>7</xdr:col>
      <xdr:colOff>935581</xdr:colOff>
      <xdr:row>2</xdr:row>
      <xdr:rowOff>517569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233576" y="357265"/>
          <a:ext cx="1554477" cy="691932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وعاء يحتوي على تفاح طازج.لتغيير هذه الصورة، انقر بزر الماوس الأيمن فوقها ثم انقر فوق &quot;تغيير الصورة&quot;." title="Sept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 flipH="1">
          <a:off x="9430736515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أدخل عنوانك هنا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المدينة، المنطقة/الولاية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هاتف: 555.555.5555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endParaRPr kumimoji="0" lang="ar-SA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فاكس: 555.555.5555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www.example.com</a:t>
          </a: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20"/>
  <sheetViews>
    <sheetView showGridLines="0" rightToLeft="1" tabSelected="1" zoomScale="86" zoomScaleNormal="86" workbookViewId="0"/>
  </sheetViews>
  <sheetFormatPr defaultColWidth="6.6640625" defaultRowHeight="14.25" x14ac:dyDescent="0.2"/>
  <cols>
    <col min="1" max="1" width="3.109375" style="25" customWidth="1"/>
    <col min="2" max="9" width="13.77734375" style="25" customWidth="1"/>
    <col min="10" max="10" width="12.6640625" style="25" customWidth="1"/>
    <col min="11" max="11" width="2.109375" style="25" customWidth="1"/>
    <col min="12" max="12" width="11.77734375" style="25" customWidth="1"/>
    <col min="13" max="13" width="11.33203125" style="25" customWidth="1"/>
    <col min="14" max="16384" width="6.6640625" style="25"/>
  </cols>
  <sheetData>
    <row r="1" spans="1:19" ht="15" x14ac:dyDescent="0.2">
      <c r="A1" s="47"/>
      <c r="B1" s="28"/>
      <c r="C1" s="28"/>
      <c r="D1" s="28"/>
      <c r="E1" s="28"/>
      <c r="F1" s="28"/>
      <c r="G1" s="28"/>
      <c r="H1" s="28"/>
      <c r="I1" s="48"/>
      <c r="L1" s="49" t="s">
        <v>0</v>
      </c>
    </row>
    <row r="2" spans="1:19" ht="26.25" customHeight="1" x14ac:dyDescent="0.2">
      <c r="A2" s="24"/>
      <c r="L2" s="50">
        <v>2011</v>
      </c>
    </row>
    <row r="3" spans="1:19" ht="57.75" customHeight="1" x14ac:dyDescent="0.2">
      <c r="A3" s="24"/>
      <c r="B3" s="83" t="str">
        <f>UPPER(TEXT(DATE(CalendarYear,1,1),"mmmm yyyy"))</f>
        <v>يناير 2011</v>
      </c>
      <c r="C3" s="83"/>
      <c r="D3" s="83"/>
      <c r="E3" s="83"/>
      <c r="F3" s="83"/>
      <c r="G3" s="51"/>
      <c r="H3" s="51"/>
    </row>
    <row r="4" spans="1:19" s="24" customFormat="1" ht="29.25" customHeight="1" x14ac:dyDescent="0.2">
      <c r="B4" s="26" t="s">
        <v>2</v>
      </c>
      <c r="C4" s="27" t="s">
        <v>3</v>
      </c>
      <c r="D4" s="27" t="s">
        <v>4</v>
      </c>
      <c r="E4" s="28" t="s">
        <v>5</v>
      </c>
      <c r="F4" s="27" t="s">
        <v>6</v>
      </c>
      <c r="G4" s="27" t="s">
        <v>7</v>
      </c>
      <c r="H4" s="29" t="s">
        <v>1</v>
      </c>
      <c r="I4" s="52"/>
      <c r="J4" s="25"/>
      <c r="L4" s="25"/>
      <c r="M4" s="30"/>
      <c r="O4" s="47"/>
      <c r="P4" s="47"/>
      <c r="Q4" s="48"/>
      <c r="R4" s="48"/>
      <c r="S4" s="47"/>
    </row>
    <row r="5" spans="1:19" s="24" customFormat="1" ht="15" customHeight="1" x14ac:dyDescent="0.2">
      <c r="B5" s="53" t="str">
        <f>IF(DAY(JanSun1)=1,"",IF(AND(YEAR(JanSun1+1)=CalendarYear,MONTH(JanSun1+1)=1),JanSun1+1,""))</f>
        <v/>
      </c>
      <c r="C5" s="39" t="str">
        <f>IF(DAY(JanSun1)=1,"",IF(AND(YEAR(JanSun1+2)=CalendarYear,MONTH(JanSun1+2)=1),JanSun1+2,""))</f>
        <v/>
      </c>
      <c r="D5" s="39" t="str">
        <f>IF(DAY(JanSun1)=1,"",IF(AND(YEAR(JanSun1+3)=CalendarYear,MONTH(JanSun1+3)=1),JanSun1+3,""))</f>
        <v/>
      </c>
      <c r="E5" s="53" t="str">
        <f>IF(DAY(JanSun1)=1,"",IF(AND(YEAR(JanSun1+4)=CalendarYear,MONTH(JanSun1+4)=1),JanSun1+4,""))</f>
        <v/>
      </c>
      <c r="F5" s="39" t="str">
        <f>IF(DAY(JanSun1)=1,"",IF(AND(YEAR(JanSun1+5)=CalendarYear,MONTH(JanSun1+5)=1),JanSun1+5,""))</f>
        <v/>
      </c>
      <c r="G5" s="39" t="str">
        <f>IF(DAY(JanSun1)=1,"",IF(AND(YEAR(JanSun1+6)=CalendarYear,MONTH(JanSun1+6)=1),JanSun1+6,""))</f>
        <v/>
      </c>
      <c r="H5" s="39">
        <f>IF(DAY(JanSun1)=1,IF(AND(YEAR(JanSun1)=CalendarYear,MONTH(JanSun1)=1),JanSun1,""),IF(AND(YEAR(JanSun1+7)=CalendarYear,MONTH(JanSun1+7)=1),JanSun1+7,""))</f>
        <v>40544</v>
      </c>
      <c r="I5" s="32"/>
      <c r="K5" s="25"/>
      <c r="L5" s="25"/>
      <c r="M5" s="25"/>
      <c r="O5" s="47"/>
      <c r="P5" s="47"/>
      <c r="Q5" s="54"/>
      <c r="R5" s="48"/>
      <c r="S5" s="47"/>
    </row>
    <row r="6" spans="1:19" s="33" customFormat="1" ht="55.5" customHeight="1" x14ac:dyDescent="0.2">
      <c r="A6" s="24"/>
      <c r="B6" s="34"/>
      <c r="C6" s="34"/>
      <c r="D6" s="34"/>
      <c r="E6" s="34"/>
      <c r="F6" s="34"/>
      <c r="G6" s="35"/>
      <c r="H6" s="35"/>
      <c r="I6" s="32"/>
      <c r="O6" s="54"/>
      <c r="P6" s="54"/>
      <c r="Q6" s="54"/>
      <c r="R6" s="54"/>
      <c r="S6" s="54"/>
    </row>
    <row r="7" spans="1:19" ht="15" customHeight="1" x14ac:dyDescent="0.2">
      <c r="A7" s="24"/>
      <c r="B7" s="36">
        <f>IF(DAY(JanSun1)=1,IF(AND(YEAR(JanSun1+1)=CalendarYear,MONTH(JanSun1+1)=1),JanSun1+1,""),IF(AND(YEAR(JanSun1+8)=CalendarYear,MONTH(JanSun1+8)=1),JanSun1+8,""))</f>
        <v>40545</v>
      </c>
      <c r="C7" s="36">
        <f>IF(DAY(JanSun1)=1,IF(AND(YEAR(JanSun1+2)=CalendarYear,MONTH(JanSun1+2)=1),JanSun1+2,""),IF(AND(YEAR(JanSun1+9)=CalendarYear,MONTH(JanSun1+9)=1),JanSun1+9,""))</f>
        <v>40546</v>
      </c>
      <c r="D7" s="36">
        <f>IF(DAY(JanSun1)=1,IF(AND(YEAR(JanSun1+3)=CalendarYear,MONTH(JanSun1+3)=1),JanSun1+3,""),IF(AND(YEAR(JanSun1+10)=CalendarYear,MONTH(JanSun1+10)=1),JanSun1+10,""))</f>
        <v>40547</v>
      </c>
      <c r="E7" s="36">
        <f>IF(DAY(JanSun1)=1,IF(AND(YEAR(JanSun1+4)=CalendarYear,MONTH(JanSun1+4)=1),JanSun1+4,""),IF(AND(YEAR(JanSun1+11)=CalendarYear,MONTH(JanSun1+11)=1),JanSun1+11,""))</f>
        <v>40548</v>
      </c>
      <c r="F7" s="36">
        <f>IF(DAY(JanSun1)=1,IF(AND(YEAR(JanSun1+5)=CalendarYear,MONTH(JanSun1+5)=1),JanSun1+5,""),IF(AND(YEAR(JanSun1+12)=CalendarYear,MONTH(JanSun1+12)=1),JanSun1+12,""))</f>
        <v>40549</v>
      </c>
      <c r="G7" s="36">
        <f>IF(DAY(JanSun1)=1,IF(AND(YEAR(JanSun1+6)=CalendarYear,MONTH(JanSun1+6)=1),JanSun1+6,""),IF(AND(YEAR(JanSun1+13)=CalendarYear,MONTH(JanSun1+13)=1),JanSun1+13,""))</f>
        <v>40550</v>
      </c>
      <c r="H7" s="36">
        <f>IF(DAY(JanSun1)=1,IF(AND(YEAR(JanSun1+7)=CalendarYear,MONTH(JanSun1+7)=1),JanSun1+7,""),IF(AND(YEAR(JanSun1+14)=CalendarYear,MONTH(JanSun1+14)=1),JanSun1+14,""))</f>
        <v>40551</v>
      </c>
      <c r="I7" s="32"/>
      <c r="O7" s="48"/>
      <c r="P7" s="48"/>
      <c r="Q7" s="48"/>
      <c r="R7" s="48"/>
      <c r="S7" s="48"/>
    </row>
    <row r="8" spans="1:19" ht="55.5" customHeight="1" x14ac:dyDescent="0.2">
      <c r="A8" s="24"/>
      <c r="B8" s="37"/>
      <c r="C8" s="37"/>
      <c r="D8" s="37"/>
      <c r="E8" s="37"/>
      <c r="F8" s="37"/>
      <c r="G8" s="38"/>
      <c r="H8" s="38"/>
      <c r="I8" s="32"/>
      <c r="O8" s="48"/>
      <c r="P8" s="48"/>
      <c r="Q8" s="48"/>
      <c r="R8" s="48"/>
      <c r="S8" s="48"/>
    </row>
    <row r="9" spans="1:19" ht="15" customHeight="1" x14ac:dyDescent="0.2">
      <c r="A9" s="24"/>
      <c r="B9" s="39">
        <f>IF(DAY(JanSun1)=1,IF(AND(YEAR(JanSun1+8)=CalendarYear,MONTH(JanSun1+8)=1),JanSun1+8,""),IF(AND(YEAR(JanSun1+15)=CalendarYear,MONTH(JanSun1+15)=1),JanSun1+15,""))</f>
        <v>40552</v>
      </c>
      <c r="C9" s="39">
        <f>IF(DAY(JanSun1)=1,IF(AND(YEAR(JanSun1+9)=CalendarYear,MONTH(JanSun1+9)=1),JanSun1+9,""),IF(AND(YEAR(JanSun1+16)=CalendarYear,MONTH(JanSun1+16)=1),JanSun1+16,""))</f>
        <v>40553</v>
      </c>
      <c r="D9" s="39">
        <f>IF(DAY(JanSun1)=1,IF(AND(YEAR(JanSun1+10)=CalendarYear,MONTH(JanSun1+10)=1),JanSun1+10,""),IF(AND(YEAR(JanSun1+17)=CalendarYear,MONTH(JanSun1+17)=1),JanSun1+17,""))</f>
        <v>40554</v>
      </c>
      <c r="E9" s="39">
        <f>IF(DAY(JanSun1)=1,IF(AND(YEAR(JanSun1+11)=CalendarYear,MONTH(JanSun1+11)=1),JanSun1+11,""),IF(AND(YEAR(JanSun1+18)=CalendarYear,MONTH(JanSun1+18)=1),JanSun1+18,""))</f>
        <v>40555</v>
      </c>
      <c r="F9" s="39">
        <f>IF(DAY(JanSun1)=1,IF(AND(YEAR(JanSun1+12)=CalendarYear,MONTH(JanSun1+12)=1),JanSun1+12,""),IF(AND(YEAR(JanSun1+19)=CalendarYear,MONTH(JanSun1+19)=1),JanSun1+19,""))</f>
        <v>40556</v>
      </c>
      <c r="G9" s="39">
        <f>IF(DAY(JanSun1)=1,IF(AND(YEAR(JanSun1+13)=CalendarYear,MONTH(JanSun1+13)=1),JanSun1+13,""),IF(AND(YEAR(JanSun1+20)=CalendarYear,MONTH(JanSun1+20)=1),JanSun1+20,""))</f>
        <v>40557</v>
      </c>
      <c r="H9" s="39">
        <f>IF(DAY(JanSun1)=1,IF(AND(YEAR(JanSun1+14)=CalendarYear,MONTH(JanSun1+14)=1),JanSun1+14,""),IF(AND(YEAR(JanSun1+21)=CalendarYear,MONTH(JanSun1+21)=1),JanSun1+21,""))</f>
        <v>40558</v>
      </c>
      <c r="I9" s="32"/>
      <c r="O9" s="48"/>
      <c r="P9" s="48"/>
      <c r="Q9" s="48"/>
      <c r="R9" s="48"/>
      <c r="S9" s="48"/>
    </row>
    <row r="10" spans="1:19" ht="55.5" customHeight="1" x14ac:dyDescent="0.2">
      <c r="A10" s="24"/>
      <c r="B10" s="34"/>
      <c r="C10" s="34"/>
      <c r="D10" s="34"/>
      <c r="E10" s="34"/>
      <c r="F10" s="34"/>
      <c r="G10" s="35"/>
      <c r="H10" s="35"/>
      <c r="I10" s="32"/>
      <c r="O10" s="57"/>
      <c r="P10" s="48"/>
      <c r="Q10" s="48"/>
      <c r="R10" s="48"/>
      <c r="S10" s="48"/>
    </row>
    <row r="11" spans="1:19" ht="15" customHeight="1" x14ac:dyDescent="0.2">
      <c r="A11" s="24"/>
      <c r="B11" s="40">
        <f>IF(DAY(JanSun1)=1,IF(AND(YEAR(JanSun1+15)=CalendarYear,MONTH(JanSun1+15)=1),JanSun1+15,""),IF(AND(YEAR(JanSun1+22)=CalendarYear,MONTH(JanSun1+22)=1),JanSun1+22,""))</f>
        <v>40559</v>
      </c>
      <c r="C11" s="40">
        <f>IF(DAY(JanSun1)=1,IF(AND(YEAR(JanSun1+16)=CalendarYear,MONTH(JanSun1+16)=1),JanSun1+16,""),IF(AND(YEAR(JanSun1+23)=CalendarYear,MONTH(JanSun1+23)=1),JanSun1+23,""))</f>
        <v>40560</v>
      </c>
      <c r="D11" s="40">
        <f>IF(DAY(JanSun1)=1,IF(AND(YEAR(JanSun1+17)=CalendarYear,MONTH(JanSun1+17)=1),JanSun1+17,""),IF(AND(YEAR(JanSun1+24)=CalendarYear,MONTH(JanSun1+24)=1),JanSun1+24,""))</f>
        <v>40561</v>
      </c>
      <c r="E11" s="40">
        <f>IF(DAY(JanSun1)=1,IF(AND(YEAR(JanSun1+18)=CalendarYear,MONTH(JanSun1+18)=1),JanSun1+18,""),IF(AND(YEAR(JanSun1+25)=CalendarYear,MONTH(JanSun1+25)=1),JanSun1+25,""))</f>
        <v>40562</v>
      </c>
      <c r="F11" s="40">
        <f>IF(DAY(JanSun1)=1,IF(AND(YEAR(JanSun1+19)=CalendarYear,MONTH(JanSun1+19)=1),JanSun1+19,""),IF(AND(YEAR(JanSun1+26)=CalendarYear,MONTH(JanSun1+26)=1),JanSun1+26,""))</f>
        <v>40563</v>
      </c>
      <c r="G11" s="40">
        <f>IF(DAY(JanSun1)=1,IF(AND(YEAR(JanSun1+20)=CalendarYear,MONTH(JanSun1+20)=1),JanSun1+20,""),IF(AND(YEAR(JanSun1+27)=CalendarYear,MONTH(JanSun1+27)=1),JanSun1+27,""))</f>
        <v>40564</v>
      </c>
      <c r="H11" s="40">
        <f>IF(DAY(JanSun1)=1,IF(AND(YEAR(JanSun1+21)=CalendarYear,MONTH(JanSun1+21)=1),JanSun1+21,""),IF(AND(YEAR(JanSun1+28)=CalendarYear,MONTH(JanSun1+28)=1),JanSun1+28,""))</f>
        <v>40565</v>
      </c>
      <c r="I11" s="32"/>
      <c r="O11" s="48"/>
      <c r="P11" s="48"/>
      <c r="Q11" s="48"/>
      <c r="R11" s="48"/>
      <c r="S11" s="48"/>
    </row>
    <row r="12" spans="1:19" ht="55.5" customHeight="1" x14ac:dyDescent="0.2">
      <c r="A12" s="24"/>
      <c r="B12" s="37"/>
      <c r="C12" s="37"/>
      <c r="D12" s="37"/>
      <c r="E12" s="37"/>
      <c r="F12" s="37"/>
      <c r="G12" s="38"/>
      <c r="H12" s="38"/>
      <c r="I12" s="32"/>
      <c r="O12" s="48"/>
      <c r="P12" s="48"/>
      <c r="Q12" s="48"/>
      <c r="R12" s="48"/>
      <c r="S12" s="48"/>
    </row>
    <row r="13" spans="1:19" ht="15" customHeight="1" x14ac:dyDescent="0.2">
      <c r="A13" s="24"/>
      <c r="B13" s="39">
        <f>IF(DAY(JanSun1)=1,IF(AND(YEAR(JanSun1+22)=CalendarYear,MONTH(JanSun1+22)=1),JanSun1+22,""),IF(AND(YEAR(JanSun1+29)=CalendarYear,MONTH(JanSun1+29)=1),JanSun1+29,""))</f>
        <v>40566</v>
      </c>
      <c r="C13" s="39">
        <f>IF(DAY(JanSun1)=1,IF(AND(YEAR(JanSun1+23)=CalendarYear,MONTH(JanSun1+23)=1),JanSun1+23,""),IF(AND(YEAR(JanSun1+30)=CalendarYear,MONTH(JanSun1+30)=1),JanSun1+30,""))</f>
        <v>40567</v>
      </c>
      <c r="D13" s="39">
        <f>IF(DAY(JanSun1)=1,IF(AND(YEAR(JanSun1+24)=CalendarYear,MONTH(JanSun1+24)=1),JanSun1+24,""),IF(AND(YEAR(JanSun1+31)=CalendarYear,MONTH(JanSun1+31)=1),JanSun1+31,""))</f>
        <v>40568</v>
      </c>
      <c r="E13" s="39">
        <f>IF(DAY(JanSun1)=1,IF(AND(YEAR(JanSun1+25)=CalendarYear,MONTH(JanSun1+25)=1),JanSun1+25,""),IF(AND(YEAR(JanSun1+32)=CalendarYear,MONTH(JanSun1+32)=1),JanSun1+32,""))</f>
        <v>40569</v>
      </c>
      <c r="F13" s="39">
        <f>IF(DAY(JanSun1)=1,IF(AND(YEAR(JanSun1+26)=CalendarYear,MONTH(JanSun1+26)=1),JanSun1+26,""),IF(AND(YEAR(JanSun1+33)=CalendarYear,MONTH(JanSun1+33)=1),JanSun1+33,""))</f>
        <v>40570</v>
      </c>
      <c r="G13" s="39">
        <f>IF(DAY(JanSun1)=1,IF(AND(YEAR(JanSun1+27)=CalendarYear,MONTH(JanSun1+27)=1),JanSun1+27,""),IF(AND(YEAR(JanSun1+34)=CalendarYear,MONTH(JanSun1+34)=1),JanSun1+34,""))</f>
        <v>40571</v>
      </c>
      <c r="H13" s="39">
        <f>IF(DAY(JanSun1)=1,IF(AND(YEAR(JanSun1+28)=CalendarYear,MONTH(JanSun1+28)=1),JanSun1+28,""),IF(AND(YEAR(JanSun1+35)=CalendarYear,MONTH(JanSun1+35)=1),JanSun1+35,""))</f>
        <v>40572</v>
      </c>
      <c r="I13" s="32"/>
      <c r="O13" s="48"/>
      <c r="P13" s="48"/>
      <c r="Q13" s="48"/>
      <c r="R13" s="48"/>
      <c r="S13" s="48"/>
    </row>
    <row r="14" spans="1:19" ht="55.5" customHeight="1" x14ac:dyDescent="0.2">
      <c r="A14" s="24"/>
      <c r="B14" s="34"/>
      <c r="C14" s="34"/>
      <c r="D14" s="34"/>
      <c r="E14" s="34"/>
      <c r="F14" s="34"/>
      <c r="G14" s="35"/>
      <c r="H14" s="35"/>
      <c r="I14" s="32"/>
      <c r="O14" s="48"/>
      <c r="P14" s="48"/>
      <c r="Q14" s="48"/>
      <c r="R14" s="48"/>
      <c r="S14" s="48"/>
    </row>
    <row r="15" spans="1:19" ht="15" customHeight="1" x14ac:dyDescent="0.2">
      <c r="A15" s="24"/>
      <c r="B15" s="40">
        <f>IF(DAY(JanSun1)=1,IF(AND(YEAR(JanSun1+29)=CalendarYear,MONTH(JanSun1+29)=1),JanSun1+29,""),IF(AND(YEAR(JanSun1+36)=CalendarYear,MONTH(JanSun1+36)=1),JanSun1+36,""))</f>
        <v>40573</v>
      </c>
      <c r="C15" s="55">
        <f>IF(DAY(JanSun1)=1,IF(AND(YEAR(JanSun1+30)=CalendarYear,MONTH(JanSun1+30)=1),JanSun1+30,""),IF(AND(YEAR(JanSun1+37)=CalendarYear,MONTH(JanSun1+37)=1),JanSun1+37,""))</f>
        <v>40574</v>
      </c>
      <c r="D15" s="80" t="s">
        <v>8</v>
      </c>
      <c r="E15" s="81"/>
      <c r="F15" s="81"/>
      <c r="G15" s="81"/>
      <c r="H15" s="82"/>
      <c r="I15" s="32"/>
      <c r="O15" s="48"/>
      <c r="P15" s="48"/>
      <c r="Q15" s="48"/>
      <c r="R15" s="48"/>
      <c r="S15" s="48"/>
    </row>
    <row r="16" spans="1:19" ht="55.5" customHeight="1" x14ac:dyDescent="0.2">
      <c r="A16" s="24"/>
      <c r="B16" s="37"/>
      <c r="C16" s="37"/>
      <c r="D16" s="77"/>
      <c r="E16" s="78"/>
      <c r="F16" s="78"/>
      <c r="G16" s="78"/>
      <c r="H16" s="79"/>
      <c r="I16" s="32"/>
      <c r="O16" s="48"/>
      <c r="P16" s="48"/>
      <c r="Q16" s="48"/>
      <c r="R16" s="48"/>
      <c r="S16" s="48"/>
    </row>
    <row r="17" spans="2:5" ht="17.25" customHeight="1" x14ac:dyDescent="0.2"/>
    <row r="19" spans="2:5" ht="21" customHeight="1" x14ac:dyDescent="0.2">
      <c r="C19" s="44"/>
      <c r="D19" s="45"/>
      <c r="E19" s="46"/>
    </row>
    <row r="20" spans="2:5" ht="19.5" customHeight="1" x14ac:dyDescent="0.2">
      <c r="B20" s="56"/>
    </row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96" t="str">
        <f>UPPER(TEXT(DATE(CalendarYear,10,1),"mmmm yyyy"))</f>
        <v>أكتوبر 2011</v>
      </c>
      <c r="C3" s="96"/>
      <c r="D3" s="96"/>
      <c r="E3" s="96"/>
      <c r="F3" s="96"/>
    </row>
    <row r="4" spans="1:18" customFormat="1" ht="29.25" customHeight="1" x14ac:dyDescent="0.25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3" t="str">
        <f>IF(DAY(OctSun1)=1,"",IF(AND(YEAR(OctSun1+1)=CalendarYear,MONTH(OctSun1+1)=10),OctSun1+1,""))</f>
        <v/>
      </c>
      <c r="C5" s="23" t="str">
        <f>IF(DAY(OctSun1)=1,"",IF(AND(YEAR(OctSun1+2)=CalendarYear,MONTH(OctSun1+2)=10),OctSun1+2,""))</f>
        <v/>
      </c>
      <c r="D5" s="23" t="str">
        <f>IF(DAY(OctSun1)=1,"",IF(AND(YEAR(OctSun1+3)=CalendarYear,MONTH(OctSun1+3)=10),OctSun1+3,""))</f>
        <v/>
      </c>
      <c r="E5" s="23" t="str">
        <f>IF(DAY(OctSun1)=1,"",IF(AND(YEAR(OctSun1+4)=CalendarYear,MONTH(OctSun1+4)=10),OctSun1+4,""))</f>
        <v/>
      </c>
      <c r="F5" s="23" t="str">
        <f>IF(DAY(OctSun1)=1,"",IF(AND(YEAR(OctSun1+5)=CalendarYear,MONTH(OctSun1+5)=10),OctSun1+5,""))</f>
        <v/>
      </c>
      <c r="G5" s="23" t="str">
        <f>IF(DAY(OctSun1)=1,"",IF(AND(YEAR(OctSun1+6)=CalendarYear,MONTH(OctSun1+6)=10),OctSun1+6,""))</f>
        <v/>
      </c>
      <c r="H5" s="23">
        <f>IF(DAY(OctSun1)=1,IF(AND(YEAR(OctSun1)=CalendarYear,MONTH(OctSun1)=10),OctSun1,""),IF(AND(YEAR(OctSun1+7)=CalendarYear,MONTH(OctSun1+7)=10),OctSun1+7,""))</f>
        <v>40817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6"/>
      <c r="C6" s="16"/>
      <c r="D6" s="16"/>
      <c r="E6" s="16"/>
      <c r="F6" s="16"/>
      <c r="G6" s="17"/>
      <c r="H6" s="17"/>
      <c r="I6" s="3"/>
    </row>
    <row r="7" spans="1:18" ht="15" customHeight="1" x14ac:dyDescent="0.25">
      <c r="A7"/>
      <c r="B7" s="18">
        <f>IF(DAY(OctSun1)=1,IF(AND(YEAR(OctSun1+1)=CalendarYear,MONTH(OctSun1+1)=10),OctSun1+1,""),IF(AND(YEAR(OctSun1+8)=CalendarYear,MONTH(OctSun1+8)=10),OctSun1+8,""))</f>
        <v>40818</v>
      </c>
      <c r="C7" s="18">
        <f>IF(DAY(OctSun1)=1,IF(AND(YEAR(OctSun1+2)=CalendarYear,MONTH(OctSun1+2)=10),OctSun1+2,""),IF(AND(YEAR(OctSun1+9)=CalendarYear,MONTH(OctSun1+9)=10),OctSun1+9,""))</f>
        <v>40819</v>
      </c>
      <c r="D7" s="18">
        <f>IF(DAY(OctSun1)=1,IF(AND(YEAR(OctSun1+3)=CalendarYear,MONTH(OctSun1+3)=10),OctSun1+3,""),IF(AND(YEAR(OctSun1+10)=CalendarYear,MONTH(OctSun1+10)=10),OctSun1+10,""))</f>
        <v>40820</v>
      </c>
      <c r="E7" s="18">
        <f>IF(DAY(OctSun1)=1,IF(AND(YEAR(OctSun1+4)=CalendarYear,MONTH(OctSun1+4)=10),OctSun1+4,""),IF(AND(YEAR(OctSun1+11)=CalendarYear,MONTH(OctSun1+11)=10),OctSun1+11,""))</f>
        <v>40821</v>
      </c>
      <c r="F7" s="18">
        <f>IF(DAY(OctSun1)=1,IF(AND(YEAR(OctSun1+5)=CalendarYear,MONTH(OctSun1+5)=10),OctSun1+5,""),IF(AND(YEAR(OctSun1+12)=CalendarYear,MONTH(OctSun1+12)=10),OctSun1+12,""))</f>
        <v>40822</v>
      </c>
      <c r="G7" s="18">
        <f>IF(DAY(OctSun1)=1,IF(AND(YEAR(OctSun1+6)=CalendarYear,MONTH(OctSun1+6)=10),OctSun1+6,""),IF(AND(YEAR(OctSun1+13)=CalendarYear,MONTH(OctSun1+13)=10),OctSun1+13,""))</f>
        <v>40823</v>
      </c>
      <c r="H7" s="18">
        <f>IF(DAY(OctSun1)=1,IF(AND(YEAR(OctSun1+7)=CalendarYear,MONTH(OctSun1+7)=10),OctSun1+7,""),IF(AND(YEAR(OctSun1+14)=CalendarYear,MONTH(OctSun1+14)=10),OctSun1+14,""))</f>
        <v>40824</v>
      </c>
      <c r="I7" s="3"/>
    </row>
    <row r="8" spans="1:18" ht="55.5" customHeight="1" x14ac:dyDescent="0.25">
      <c r="A8"/>
      <c r="B8" s="19"/>
      <c r="C8" s="19"/>
      <c r="D8" s="19"/>
      <c r="E8" s="19"/>
      <c r="F8" s="19"/>
      <c r="G8" s="20"/>
      <c r="H8" s="20"/>
      <c r="I8" s="3"/>
    </row>
    <row r="9" spans="1:18" ht="15" customHeight="1" x14ac:dyDescent="0.25">
      <c r="A9"/>
      <c r="B9" s="15">
        <f>IF(DAY(OctSun1)=1,IF(AND(YEAR(OctSun1+8)=CalendarYear,MONTH(OctSun1+8)=10),OctSun1+8,""),IF(AND(YEAR(OctSun1+15)=CalendarYear,MONTH(OctSun1+15)=10),OctSun1+15,""))</f>
        <v>40825</v>
      </c>
      <c r="C9" s="15">
        <f>IF(DAY(OctSun1)=1,IF(AND(YEAR(OctSun1+9)=CalendarYear,MONTH(OctSun1+9)=10),OctSun1+9,""),IF(AND(YEAR(OctSun1+16)=CalendarYear,MONTH(OctSun1+16)=10),OctSun1+16,""))</f>
        <v>40826</v>
      </c>
      <c r="D9" s="15">
        <f>IF(DAY(OctSun1)=1,IF(AND(YEAR(OctSun1+10)=CalendarYear,MONTH(OctSun1+10)=10),OctSun1+10,""),IF(AND(YEAR(OctSun1+17)=CalendarYear,MONTH(OctSun1+17)=10),OctSun1+17,""))</f>
        <v>40827</v>
      </c>
      <c r="E9" s="15">
        <f>IF(DAY(OctSun1)=1,IF(AND(YEAR(OctSun1+11)=CalendarYear,MONTH(OctSun1+11)=10),OctSun1+11,""),IF(AND(YEAR(OctSun1+18)=CalendarYear,MONTH(OctSun1+18)=10),OctSun1+18,""))</f>
        <v>40828</v>
      </c>
      <c r="F9" s="15">
        <f>IF(DAY(OctSun1)=1,IF(AND(YEAR(OctSun1+12)=CalendarYear,MONTH(OctSun1+12)=10),OctSun1+12,""),IF(AND(YEAR(OctSun1+19)=CalendarYear,MONTH(OctSun1+19)=10),OctSun1+19,""))</f>
        <v>40829</v>
      </c>
      <c r="G9" s="15">
        <f>IF(DAY(OctSun1)=1,IF(AND(YEAR(OctSun1+13)=CalendarYear,MONTH(OctSun1+13)=10),OctSun1+13,""),IF(AND(YEAR(OctSun1+20)=CalendarYear,MONTH(OctSun1+20)=10),OctSun1+20,""))</f>
        <v>40830</v>
      </c>
      <c r="H9" s="15">
        <f>IF(DAY(OctSun1)=1,IF(AND(YEAR(OctSun1+14)=CalendarYear,MONTH(OctSun1+14)=10),OctSun1+14,""),IF(AND(YEAR(OctSun1+21)=CalendarYear,MONTH(OctSun1+21)=10),OctSun1+21,""))</f>
        <v>40831</v>
      </c>
      <c r="I9" s="3"/>
    </row>
    <row r="10" spans="1:18" ht="55.5" customHeight="1" x14ac:dyDescent="0.25">
      <c r="A10"/>
      <c r="B10" s="16"/>
      <c r="C10" s="16"/>
      <c r="D10" s="16"/>
      <c r="E10" s="16"/>
      <c r="F10" s="16"/>
      <c r="G10" s="17"/>
      <c r="H10" s="17"/>
      <c r="I10" s="3"/>
    </row>
    <row r="11" spans="1:18" ht="15" customHeight="1" x14ac:dyDescent="0.25">
      <c r="A11"/>
      <c r="B11" s="21">
        <f>IF(DAY(OctSun1)=1,IF(AND(YEAR(OctSun1+15)=CalendarYear,MONTH(OctSun1+15)=10),OctSun1+15,""),IF(AND(YEAR(OctSun1+22)=CalendarYear,MONTH(OctSun1+22)=10),OctSun1+22,""))</f>
        <v>40832</v>
      </c>
      <c r="C11" s="21">
        <f>IF(DAY(OctSun1)=1,IF(AND(YEAR(OctSun1+16)=CalendarYear,MONTH(OctSun1+16)=10),OctSun1+16,""),IF(AND(YEAR(OctSun1+23)=CalendarYear,MONTH(OctSun1+23)=10),OctSun1+23,""))</f>
        <v>40833</v>
      </c>
      <c r="D11" s="21">
        <f>IF(DAY(OctSun1)=1,IF(AND(YEAR(OctSun1+17)=CalendarYear,MONTH(OctSun1+17)=10),OctSun1+17,""),IF(AND(YEAR(OctSun1+24)=CalendarYear,MONTH(OctSun1+24)=10),OctSun1+24,""))</f>
        <v>40834</v>
      </c>
      <c r="E11" s="21">
        <f>IF(DAY(OctSun1)=1,IF(AND(YEAR(OctSun1+18)=CalendarYear,MONTH(OctSun1+18)=10),OctSun1+18,""),IF(AND(YEAR(OctSun1+25)=CalendarYear,MONTH(OctSun1+25)=10),OctSun1+25,""))</f>
        <v>40835</v>
      </c>
      <c r="F11" s="21">
        <f>IF(DAY(OctSun1)=1,IF(AND(YEAR(OctSun1+19)=CalendarYear,MONTH(OctSun1+19)=10),OctSun1+19,""),IF(AND(YEAR(OctSun1+26)=CalendarYear,MONTH(OctSun1+26)=10),OctSun1+26,""))</f>
        <v>40836</v>
      </c>
      <c r="G11" s="21">
        <f>IF(DAY(OctSun1)=1,IF(AND(YEAR(OctSun1+20)=CalendarYear,MONTH(OctSun1+20)=10),OctSun1+20,""),IF(AND(YEAR(OctSun1+27)=CalendarYear,MONTH(OctSun1+27)=10),OctSun1+27,""))</f>
        <v>40837</v>
      </c>
      <c r="H11" s="21">
        <f>IF(DAY(OctSun1)=1,IF(AND(YEAR(OctSun1+21)=CalendarYear,MONTH(OctSun1+21)=10),OctSun1+21,""),IF(AND(YEAR(OctSun1+28)=CalendarYear,MONTH(OctSun1+28)=10),OctSun1+28,""))</f>
        <v>40838</v>
      </c>
      <c r="I11" s="3"/>
    </row>
    <row r="12" spans="1:18" ht="55.5" customHeight="1" x14ac:dyDescent="0.25">
      <c r="A12"/>
      <c r="B12" s="19"/>
      <c r="C12" s="19"/>
      <c r="D12" s="19"/>
      <c r="E12" s="19"/>
      <c r="F12" s="19"/>
      <c r="G12" s="20"/>
      <c r="H12" s="20"/>
      <c r="I12" s="3"/>
    </row>
    <row r="13" spans="1:18" ht="15" customHeight="1" x14ac:dyDescent="0.25">
      <c r="A13"/>
      <c r="B13" s="15">
        <f>IF(DAY(OctSun1)=1,IF(AND(YEAR(OctSun1+22)=CalendarYear,MONTH(OctSun1+22)=10),OctSun1+22,""),IF(AND(YEAR(OctSun1+29)=CalendarYear,MONTH(OctSun1+29)=10),OctSun1+29,""))</f>
        <v>40839</v>
      </c>
      <c r="C13" s="15">
        <f>IF(DAY(OctSun1)=1,IF(AND(YEAR(OctSun1+23)=CalendarYear,MONTH(OctSun1+23)=10),OctSun1+23,""),IF(AND(YEAR(OctSun1+30)=CalendarYear,MONTH(OctSun1+30)=10),OctSun1+30,""))</f>
        <v>40840</v>
      </c>
      <c r="D13" s="15">
        <f>IF(DAY(OctSun1)=1,IF(AND(YEAR(OctSun1+24)=CalendarYear,MONTH(OctSun1+24)=10),OctSun1+24,""),IF(AND(YEAR(OctSun1+31)=CalendarYear,MONTH(OctSun1+31)=10),OctSun1+31,""))</f>
        <v>40841</v>
      </c>
      <c r="E13" s="15">
        <f>IF(DAY(OctSun1)=1,IF(AND(YEAR(OctSun1+25)=CalendarYear,MONTH(OctSun1+25)=10),OctSun1+25,""),IF(AND(YEAR(OctSun1+32)=CalendarYear,MONTH(OctSun1+32)=10),OctSun1+32,""))</f>
        <v>40842</v>
      </c>
      <c r="F13" s="15">
        <f>IF(DAY(OctSun1)=1,IF(AND(YEAR(OctSun1+26)=CalendarYear,MONTH(OctSun1+26)=10),OctSun1+26,""),IF(AND(YEAR(OctSun1+33)=CalendarYear,MONTH(OctSun1+33)=10),OctSun1+33,""))</f>
        <v>40843</v>
      </c>
      <c r="G13" s="15">
        <f>IF(DAY(OctSun1)=1,IF(AND(YEAR(OctSun1+27)=CalendarYear,MONTH(OctSun1+27)=10),OctSun1+27,""),IF(AND(YEAR(OctSun1+34)=CalendarYear,MONTH(OctSun1+34)=10),OctSun1+34,""))</f>
        <v>40844</v>
      </c>
      <c r="H13" s="15">
        <f>IF(DAY(OctSun1)=1,IF(AND(YEAR(OctSun1+28)=CalendarYear,MONTH(OctSun1+28)=10),OctSun1+28,""),IF(AND(YEAR(OctSun1+35)=CalendarYear,MONTH(OctSun1+35)=10),OctSun1+35,""))</f>
        <v>40845</v>
      </c>
      <c r="I13" s="3"/>
    </row>
    <row r="14" spans="1:18" ht="55.5" customHeight="1" x14ac:dyDescent="0.25">
      <c r="A14"/>
      <c r="B14" s="16"/>
      <c r="C14" s="16"/>
      <c r="D14" s="16"/>
      <c r="E14" s="16"/>
      <c r="F14" s="16"/>
      <c r="G14" s="17"/>
      <c r="H14" s="17"/>
      <c r="I14" s="3"/>
    </row>
    <row r="15" spans="1:18" ht="15" customHeight="1" x14ac:dyDescent="0.25">
      <c r="A15"/>
      <c r="B15" s="21">
        <f>IF(DAY(OctSun1)=1,IF(AND(YEAR(OctSun1+29)=CalendarYear,MONTH(OctSun1+29)=10),OctSun1+29,""),IF(AND(YEAR(OctSun1+36)=CalendarYear,MONTH(OctSun1+36)=10),OctSun1+36,""))</f>
        <v>40846</v>
      </c>
      <c r="C15" s="22">
        <f>IF(DAY(OctSun1)=1,IF(AND(YEAR(OctSun1+30)=CalendarYear,MONTH(OctSun1+30)=10),OctSun1+30,""),IF(AND(YEAR(OctSun1+37)=CalendarYear,MONTH(OctSun1+37)=10),OctSun1+37,""))</f>
        <v>40847</v>
      </c>
      <c r="D15" s="85" t="s">
        <v>8</v>
      </c>
      <c r="E15" s="86"/>
      <c r="F15" s="86"/>
      <c r="G15" s="86"/>
      <c r="H15" s="87"/>
      <c r="I15" s="3"/>
    </row>
    <row r="16" spans="1:18" ht="55.5" customHeight="1" x14ac:dyDescent="0.25">
      <c r="A16"/>
      <c r="B16" s="19"/>
      <c r="C16" s="19"/>
      <c r="D16" s="92"/>
      <c r="E16" s="93"/>
      <c r="F16" s="93"/>
      <c r="G16" s="93"/>
      <c r="H16" s="9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97" t="str">
        <f>UPPER(TEXT(DATE(CalendarYear,11,1),"mmmm yyyy"))</f>
        <v>نوفمبر 2011</v>
      </c>
      <c r="C3" s="97"/>
      <c r="D3" s="97"/>
      <c r="E3" s="97"/>
      <c r="F3" s="97"/>
    </row>
    <row r="4" spans="1:18" customFormat="1" ht="29.25" customHeight="1" x14ac:dyDescent="0.25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3" t="str">
        <f>IF(DAY(NovSun1)=1,"",IF(AND(YEAR(NovSun1+1)=CalendarYear,MONTH(NovSun1+1)=11),NovSun1+1,""))</f>
        <v/>
      </c>
      <c r="C5" s="23" t="str">
        <f>IF(DAY(NovSun1)=1,"",IF(AND(YEAR(NovSun1+2)=CalendarYear,MONTH(NovSun1+2)=11),NovSun1+2,""))</f>
        <v/>
      </c>
      <c r="D5" s="23">
        <f>IF(DAY(NovSun1)=1,"",IF(AND(YEAR(NovSun1+3)=CalendarYear,MONTH(NovSun1+3)=11),NovSun1+3,""))</f>
        <v>40848</v>
      </c>
      <c r="E5" s="23">
        <f>IF(DAY(NovSun1)=1,"",IF(AND(YEAR(NovSun1+4)=CalendarYear,MONTH(NovSun1+4)=11),NovSun1+4,""))</f>
        <v>40849</v>
      </c>
      <c r="F5" s="23">
        <f>IF(DAY(NovSun1)=1,"",IF(AND(YEAR(NovSun1+5)=CalendarYear,MONTH(NovSun1+5)=11),NovSun1+5,""))</f>
        <v>40850</v>
      </c>
      <c r="G5" s="23">
        <f>IF(DAY(NovSun1)=1,"",IF(AND(YEAR(NovSun1+6)=CalendarYear,MONTH(NovSun1+6)=11),NovSun1+6,""))</f>
        <v>40851</v>
      </c>
      <c r="H5" s="23">
        <f>IF(DAY(NovSun1)=1,IF(AND(YEAR(NovSun1)=CalendarYear,MONTH(NovSun1)=11),NovSun1,""),IF(AND(YEAR(NovSun1+7)=CalendarYear,MONTH(NovSun1+7)=11),NovSun1+7,""))</f>
        <v>40852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6"/>
      <c r="C6" s="16"/>
      <c r="D6" s="16"/>
      <c r="E6" s="16"/>
      <c r="F6" s="16"/>
      <c r="G6" s="17"/>
      <c r="H6" s="17"/>
      <c r="I6" s="3"/>
    </row>
    <row r="7" spans="1:18" ht="15" customHeight="1" x14ac:dyDescent="0.25">
      <c r="A7"/>
      <c r="B7" s="18">
        <f>IF(DAY(NovSun1)=1,IF(AND(YEAR(NovSun1+1)=CalendarYear,MONTH(NovSun1+1)=11),NovSun1+1,""),IF(AND(YEAR(NovSun1+8)=CalendarYear,MONTH(NovSun1+8)=11),NovSun1+8,""))</f>
        <v>40853</v>
      </c>
      <c r="C7" s="18">
        <f>IF(DAY(NovSun1)=1,IF(AND(YEAR(NovSun1+2)=CalendarYear,MONTH(NovSun1+2)=11),NovSun1+2,""),IF(AND(YEAR(NovSun1+9)=CalendarYear,MONTH(NovSun1+9)=11),NovSun1+9,""))</f>
        <v>40854</v>
      </c>
      <c r="D7" s="18">
        <f>IF(DAY(NovSun1)=1,IF(AND(YEAR(NovSun1+3)=CalendarYear,MONTH(NovSun1+3)=11),NovSun1+3,""),IF(AND(YEAR(NovSun1+10)=CalendarYear,MONTH(NovSun1+10)=11),NovSun1+10,""))</f>
        <v>40855</v>
      </c>
      <c r="E7" s="18">
        <f>IF(DAY(NovSun1)=1,IF(AND(YEAR(NovSun1+4)=CalendarYear,MONTH(NovSun1+4)=11),NovSun1+4,""),IF(AND(YEAR(NovSun1+11)=CalendarYear,MONTH(NovSun1+11)=11),NovSun1+11,""))</f>
        <v>40856</v>
      </c>
      <c r="F7" s="18">
        <f>IF(DAY(NovSun1)=1,IF(AND(YEAR(NovSun1+5)=CalendarYear,MONTH(NovSun1+5)=11),NovSun1+5,""),IF(AND(YEAR(NovSun1+12)=CalendarYear,MONTH(NovSun1+12)=11),NovSun1+12,""))</f>
        <v>40857</v>
      </c>
      <c r="G7" s="18">
        <f>IF(DAY(NovSun1)=1,IF(AND(YEAR(NovSun1+6)=CalendarYear,MONTH(NovSun1+6)=11),NovSun1+6,""),IF(AND(YEAR(NovSun1+13)=CalendarYear,MONTH(NovSun1+13)=11),NovSun1+13,""))</f>
        <v>40858</v>
      </c>
      <c r="H7" s="18">
        <f>IF(DAY(NovSun1)=1,IF(AND(YEAR(NovSun1+7)=CalendarYear,MONTH(NovSun1+7)=11),NovSun1+7,""),IF(AND(YEAR(NovSun1+14)=CalendarYear,MONTH(NovSun1+14)=11),NovSun1+14,""))</f>
        <v>40859</v>
      </c>
      <c r="I7" s="3"/>
    </row>
    <row r="8" spans="1:18" ht="55.5" customHeight="1" x14ac:dyDescent="0.25">
      <c r="A8"/>
      <c r="B8" s="19"/>
      <c r="C8" s="19"/>
      <c r="D8" s="19"/>
      <c r="E8" s="19"/>
      <c r="F8" s="19"/>
      <c r="G8" s="20"/>
      <c r="H8" s="20"/>
      <c r="I8" s="3"/>
    </row>
    <row r="9" spans="1:18" ht="15" customHeight="1" x14ac:dyDescent="0.25">
      <c r="A9"/>
      <c r="B9" s="15">
        <f>IF(DAY(NovSun1)=1,IF(AND(YEAR(NovSun1+8)=CalendarYear,MONTH(NovSun1+8)=11),NovSun1+8,""),IF(AND(YEAR(NovSun1+15)=CalendarYear,MONTH(NovSun1+15)=11),NovSun1+15,""))</f>
        <v>40860</v>
      </c>
      <c r="C9" s="15">
        <f>IF(DAY(NovSun1)=1,IF(AND(YEAR(NovSun1+9)=CalendarYear,MONTH(NovSun1+9)=11),NovSun1+9,""),IF(AND(YEAR(NovSun1+16)=CalendarYear,MONTH(NovSun1+16)=11),NovSun1+16,""))</f>
        <v>40861</v>
      </c>
      <c r="D9" s="15">
        <f>IF(DAY(NovSun1)=1,IF(AND(YEAR(NovSun1+10)=CalendarYear,MONTH(NovSun1+10)=11),NovSun1+10,""),IF(AND(YEAR(NovSun1+17)=CalendarYear,MONTH(NovSun1+17)=11),NovSun1+17,""))</f>
        <v>40862</v>
      </c>
      <c r="E9" s="15">
        <f>IF(DAY(NovSun1)=1,IF(AND(YEAR(NovSun1+11)=CalendarYear,MONTH(NovSun1+11)=11),NovSun1+11,""),IF(AND(YEAR(NovSun1+18)=CalendarYear,MONTH(NovSun1+18)=11),NovSun1+18,""))</f>
        <v>40863</v>
      </c>
      <c r="F9" s="15">
        <f>IF(DAY(NovSun1)=1,IF(AND(YEAR(NovSun1+12)=CalendarYear,MONTH(NovSun1+12)=11),NovSun1+12,""),IF(AND(YEAR(NovSun1+19)=CalendarYear,MONTH(NovSun1+19)=11),NovSun1+19,""))</f>
        <v>40864</v>
      </c>
      <c r="G9" s="15">
        <f>IF(DAY(NovSun1)=1,IF(AND(YEAR(NovSun1+13)=CalendarYear,MONTH(NovSun1+13)=11),NovSun1+13,""),IF(AND(YEAR(NovSun1+20)=CalendarYear,MONTH(NovSun1+20)=11),NovSun1+20,""))</f>
        <v>40865</v>
      </c>
      <c r="H9" s="15">
        <f>IF(DAY(NovSun1)=1,IF(AND(YEAR(NovSun1+14)=CalendarYear,MONTH(NovSun1+14)=11),NovSun1+14,""),IF(AND(YEAR(NovSun1+21)=CalendarYear,MONTH(NovSun1+21)=11),NovSun1+21,""))</f>
        <v>40866</v>
      </c>
      <c r="I9" s="3"/>
    </row>
    <row r="10" spans="1:18" ht="55.5" customHeight="1" x14ac:dyDescent="0.25">
      <c r="A10"/>
      <c r="B10" s="16"/>
      <c r="C10" s="16"/>
      <c r="D10" s="16"/>
      <c r="E10" s="16"/>
      <c r="F10" s="16"/>
      <c r="G10" s="17"/>
      <c r="H10" s="17"/>
      <c r="I10" s="3"/>
    </row>
    <row r="11" spans="1:18" ht="15" customHeight="1" x14ac:dyDescent="0.25">
      <c r="A11"/>
      <c r="B11" s="21">
        <f>IF(DAY(NovSun1)=1,IF(AND(YEAR(NovSun1+15)=CalendarYear,MONTH(NovSun1+15)=11),NovSun1+15,""),IF(AND(YEAR(NovSun1+22)=CalendarYear,MONTH(NovSun1+22)=11),NovSun1+22,""))</f>
        <v>40867</v>
      </c>
      <c r="C11" s="21">
        <f>IF(DAY(NovSun1)=1,IF(AND(YEAR(NovSun1+16)=CalendarYear,MONTH(NovSun1+16)=11),NovSun1+16,""),IF(AND(YEAR(NovSun1+23)=CalendarYear,MONTH(NovSun1+23)=11),NovSun1+23,""))</f>
        <v>40868</v>
      </c>
      <c r="D11" s="21">
        <f>IF(DAY(NovSun1)=1,IF(AND(YEAR(NovSun1+17)=CalendarYear,MONTH(NovSun1+17)=11),NovSun1+17,""),IF(AND(YEAR(NovSun1+24)=CalendarYear,MONTH(NovSun1+24)=11),NovSun1+24,""))</f>
        <v>40869</v>
      </c>
      <c r="E11" s="21">
        <f>IF(DAY(NovSun1)=1,IF(AND(YEAR(NovSun1+18)=CalendarYear,MONTH(NovSun1+18)=11),NovSun1+18,""),IF(AND(YEAR(NovSun1+25)=CalendarYear,MONTH(NovSun1+25)=11),NovSun1+25,""))</f>
        <v>40870</v>
      </c>
      <c r="F11" s="21">
        <f>IF(DAY(NovSun1)=1,IF(AND(YEAR(NovSun1+19)=CalendarYear,MONTH(NovSun1+19)=11),NovSun1+19,""),IF(AND(YEAR(NovSun1+26)=CalendarYear,MONTH(NovSun1+26)=11),NovSun1+26,""))</f>
        <v>40871</v>
      </c>
      <c r="G11" s="21">
        <f>IF(DAY(NovSun1)=1,IF(AND(YEAR(NovSun1+20)=CalendarYear,MONTH(NovSun1+20)=11),NovSun1+20,""),IF(AND(YEAR(NovSun1+27)=CalendarYear,MONTH(NovSun1+27)=11),NovSun1+27,""))</f>
        <v>40872</v>
      </c>
      <c r="H11" s="21">
        <f>IF(DAY(NovSun1)=1,IF(AND(YEAR(NovSun1+21)=CalendarYear,MONTH(NovSun1+21)=11),NovSun1+21,""),IF(AND(YEAR(NovSun1+28)=CalendarYear,MONTH(NovSun1+28)=11),NovSun1+28,""))</f>
        <v>40873</v>
      </c>
      <c r="I11" s="3"/>
    </row>
    <row r="12" spans="1:18" ht="55.5" customHeight="1" x14ac:dyDescent="0.25">
      <c r="A12"/>
      <c r="B12" s="19"/>
      <c r="C12" s="19"/>
      <c r="D12" s="19"/>
      <c r="E12" s="19"/>
      <c r="F12" s="19"/>
      <c r="G12" s="20"/>
      <c r="H12" s="20"/>
      <c r="I12" s="3"/>
    </row>
    <row r="13" spans="1:18" ht="15" customHeight="1" x14ac:dyDescent="0.25">
      <c r="A13"/>
      <c r="B13" s="15">
        <f>IF(DAY(NovSun1)=1,IF(AND(YEAR(NovSun1+22)=CalendarYear,MONTH(NovSun1+22)=11),NovSun1+22,""),IF(AND(YEAR(NovSun1+29)=CalendarYear,MONTH(NovSun1+29)=11),NovSun1+29,""))</f>
        <v>40874</v>
      </c>
      <c r="C13" s="15">
        <f>IF(DAY(NovSun1)=1,IF(AND(YEAR(NovSun1+23)=CalendarYear,MONTH(NovSun1+23)=11),NovSun1+23,""),IF(AND(YEAR(NovSun1+30)=CalendarYear,MONTH(NovSun1+30)=11),NovSun1+30,""))</f>
        <v>40875</v>
      </c>
      <c r="D13" s="15">
        <f>IF(DAY(NovSun1)=1,IF(AND(YEAR(NovSun1+24)=CalendarYear,MONTH(NovSun1+24)=11),NovSun1+24,""),IF(AND(YEAR(NovSun1+31)=CalendarYear,MONTH(NovSun1+31)=11),NovSun1+31,""))</f>
        <v>40876</v>
      </c>
      <c r="E13" s="15">
        <f>IF(DAY(NovSun1)=1,IF(AND(YEAR(NovSun1+25)=CalendarYear,MONTH(NovSun1+25)=11),NovSun1+25,""),IF(AND(YEAR(NovSun1+32)=CalendarYear,MONTH(NovSun1+32)=11),NovSun1+32,""))</f>
        <v>40877</v>
      </c>
      <c r="F13" s="15" t="str">
        <f>IF(DAY(NovSun1)=1,IF(AND(YEAR(NovSun1+26)=CalendarYear,MONTH(NovSun1+26)=11),NovSun1+26,""),IF(AND(YEAR(NovSun1+33)=CalendarYear,MONTH(NovSun1+33)=11),NovSun1+33,""))</f>
        <v/>
      </c>
      <c r="G13" s="15" t="str">
        <f>IF(DAY(NovSun1)=1,IF(AND(YEAR(NovSun1+27)=CalendarYear,MONTH(NovSun1+27)=11),NovSun1+27,""),IF(AND(YEAR(NovSun1+34)=CalendarYear,MONTH(NovSun1+34)=11),NovSun1+34,""))</f>
        <v/>
      </c>
      <c r="H13" s="15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16"/>
      <c r="C14" s="16"/>
      <c r="D14" s="16"/>
      <c r="E14" s="16"/>
      <c r="F14" s="16"/>
      <c r="G14" s="17"/>
      <c r="H14" s="17"/>
      <c r="I14" s="3"/>
    </row>
    <row r="15" spans="1:18" ht="15" customHeight="1" x14ac:dyDescent="0.25">
      <c r="A15"/>
      <c r="B15" s="9" t="str">
        <f>IF(DAY(NovSun1)=1,IF(AND(YEAR(NovSun1+29)=CalendarYear,MONTH(NovSun1+29)=11),NovSun1+29,""),IF(AND(YEAR(NovSun1+36)=CalendarYear,MONTH(NovSun1+36)=11),NovSun1+36,""))</f>
        <v/>
      </c>
      <c r="C15" s="10" t="str">
        <f>IF(DAY(NovSun1)=1,IF(AND(YEAR(NovSun1+30)=CalendarYear,MONTH(NovSun1+30)=11),NovSun1+30,""),IF(AND(YEAR(NovSun1+37)=CalendarYear,MONTH(NovSun1+37)=11),NovSun1+37,""))</f>
        <v/>
      </c>
      <c r="D15" s="85" t="s">
        <v>8</v>
      </c>
      <c r="E15" s="86"/>
      <c r="F15" s="86"/>
      <c r="G15" s="86"/>
      <c r="H15" s="87"/>
      <c r="I15" s="3"/>
    </row>
    <row r="16" spans="1:18" ht="55.5" customHeight="1" x14ac:dyDescent="0.25">
      <c r="A16"/>
      <c r="B16" s="8"/>
      <c r="C16" s="8"/>
      <c r="D16" s="92"/>
      <c r="E16" s="93"/>
      <c r="F16" s="93"/>
      <c r="G16" s="93"/>
      <c r="H16" s="9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25" customWidth="1"/>
    <col min="2" max="9" width="13.77734375" style="25" customWidth="1"/>
    <col min="10" max="10" width="12.6640625" style="25" customWidth="1"/>
    <col min="11" max="11" width="2.109375" style="25" customWidth="1"/>
    <col min="12" max="12" width="11.77734375" style="25" customWidth="1"/>
    <col min="13" max="13" width="11.33203125" style="25" customWidth="1"/>
    <col min="14" max="16384" width="6.6640625" style="25"/>
  </cols>
  <sheetData>
    <row r="1" spans="1:18" ht="15" x14ac:dyDescent="0.2">
      <c r="A1" s="24"/>
    </row>
    <row r="2" spans="1:18" ht="26.25" customHeight="1" x14ac:dyDescent="0.2">
      <c r="A2" s="24"/>
    </row>
    <row r="3" spans="1:18" ht="57.75" customHeight="1" x14ac:dyDescent="0.2">
      <c r="A3" s="24"/>
      <c r="B3" s="98" t="str">
        <f>UPPER(TEXT(DATE(CalendarYear,12,1),"mmmm yyyy"))</f>
        <v>ديسمبر 2011</v>
      </c>
      <c r="C3" s="98"/>
      <c r="D3" s="98"/>
      <c r="E3" s="98"/>
      <c r="F3" s="98"/>
    </row>
    <row r="4" spans="1:18" s="24" customFormat="1" ht="29.25" customHeight="1" x14ac:dyDescent="0.2">
      <c r="B4" s="26" t="s">
        <v>2</v>
      </c>
      <c r="C4" s="27" t="s">
        <v>3</v>
      </c>
      <c r="D4" s="27" t="s">
        <v>4</v>
      </c>
      <c r="E4" s="28" t="s">
        <v>5</v>
      </c>
      <c r="F4" s="27" t="s">
        <v>6</v>
      </c>
      <c r="G4" s="27" t="s">
        <v>7</v>
      </c>
      <c r="H4" s="29" t="s">
        <v>1</v>
      </c>
      <c r="I4" s="25"/>
      <c r="J4" s="25"/>
      <c r="L4" s="25"/>
      <c r="M4" s="30"/>
      <c r="Q4" s="25"/>
      <c r="R4" s="25"/>
    </row>
    <row r="5" spans="1:18" s="24" customFormat="1" ht="15" customHeight="1" x14ac:dyDescent="0.2">
      <c r="B5" s="31" t="str">
        <f>IF(DAY(DecSun1)=1,"",IF(AND(YEAR(DecSun1+1)=CalendarYear,MONTH(DecSun1+1)=12),DecSun1+1,""))</f>
        <v/>
      </c>
      <c r="C5" s="31" t="str">
        <f>IF(DAY(DecSun1)=1,"",IF(AND(YEAR(DecSun1+2)=CalendarYear,MONTH(DecSun1+2)=12),DecSun1+2,""))</f>
        <v/>
      </c>
      <c r="D5" s="31" t="str">
        <f>IF(DAY(DecSun1)=1,"",IF(AND(YEAR(DecSun1+3)=CalendarYear,MONTH(DecSun1+3)=12),DecSun1+3,""))</f>
        <v/>
      </c>
      <c r="E5" s="31" t="str">
        <f>IF(DAY(DecSun1)=1,"",IF(AND(YEAR(DecSun1+4)=CalendarYear,MONTH(DecSun1+4)=12),DecSun1+4,""))</f>
        <v/>
      </c>
      <c r="F5" s="31">
        <f>IF(DAY(DecSun1)=1,"",IF(AND(YEAR(DecSun1+5)=CalendarYear,MONTH(DecSun1+5)=12),DecSun1+5,""))</f>
        <v>40878</v>
      </c>
      <c r="G5" s="31">
        <f>IF(DAY(DecSun1)=1,"",IF(AND(YEAR(DecSun1+6)=CalendarYear,MONTH(DecSun1+6)=12),DecSun1+6,""))</f>
        <v>40879</v>
      </c>
      <c r="H5" s="31">
        <f>IF(DAY(DecSun1)=1,IF(AND(YEAR(DecSun1)=CalendarYear,MONTH(DecSun1)=12),DecSun1,""),IF(AND(YEAR(DecSun1+7)=CalendarYear,MONTH(DecSun1+7)=12),DecSun1+7,""))</f>
        <v>40880</v>
      </c>
      <c r="I5" s="32"/>
      <c r="K5" s="25"/>
      <c r="L5" s="25"/>
      <c r="M5" s="25"/>
      <c r="Q5" s="33"/>
      <c r="R5" s="25"/>
    </row>
    <row r="6" spans="1:18" s="33" customFormat="1" ht="55.5" customHeight="1" x14ac:dyDescent="0.2">
      <c r="A6" s="24"/>
      <c r="B6" s="34"/>
      <c r="C6" s="34"/>
      <c r="D6" s="34"/>
      <c r="E6" s="34"/>
      <c r="F6" s="34"/>
      <c r="G6" s="35"/>
      <c r="H6" s="35"/>
      <c r="I6" s="32"/>
    </row>
    <row r="7" spans="1:18" ht="15" customHeight="1" x14ac:dyDescent="0.2">
      <c r="A7" s="24"/>
      <c r="B7" s="36">
        <f>IF(DAY(DecSun1)=1,IF(AND(YEAR(DecSun1+1)=CalendarYear,MONTH(DecSun1+1)=12),DecSun1+1,""),IF(AND(YEAR(DecSun1+8)=CalendarYear,MONTH(DecSun1+8)=12),DecSun1+8,""))</f>
        <v>40881</v>
      </c>
      <c r="C7" s="36">
        <f>IF(DAY(DecSun1)=1,IF(AND(YEAR(DecSun1+2)=CalendarYear,MONTH(DecSun1+2)=12),DecSun1+2,""),IF(AND(YEAR(DecSun1+9)=CalendarYear,MONTH(DecSun1+9)=12),DecSun1+9,""))</f>
        <v>40882</v>
      </c>
      <c r="D7" s="36">
        <f>IF(DAY(DecSun1)=1,IF(AND(YEAR(DecSun1+3)=CalendarYear,MONTH(DecSun1+3)=12),DecSun1+3,""),IF(AND(YEAR(DecSun1+10)=CalendarYear,MONTH(DecSun1+10)=12),DecSun1+10,""))</f>
        <v>40883</v>
      </c>
      <c r="E7" s="36">
        <f>IF(DAY(DecSun1)=1,IF(AND(YEAR(DecSun1+4)=CalendarYear,MONTH(DecSun1+4)=12),DecSun1+4,""),IF(AND(YEAR(DecSun1+11)=CalendarYear,MONTH(DecSun1+11)=12),DecSun1+11,""))</f>
        <v>40884</v>
      </c>
      <c r="F7" s="36">
        <f>IF(DAY(DecSun1)=1,IF(AND(YEAR(DecSun1+5)=CalendarYear,MONTH(DecSun1+5)=12),DecSun1+5,""),IF(AND(YEAR(DecSun1+12)=CalendarYear,MONTH(DecSun1+12)=12),DecSun1+12,""))</f>
        <v>40885</v>
      </c>
      <c r="G7" s="36">
        <f>IF(DAY(DecSun1)=1,IF(AND(YEAR(DecSun1+6)=CalendarYear,MONTH(DecSun1+6)=12),DecSun1+6,""),IF(AND(YEAR(DecSun1+13)=CalendarYear,MONTH(DecSun1+13)=12),DecSun1+13,""))</f>
        <v>40886</v>
      </c>
      <c r="H7" s="36">
        <f>IF(DAY(DecSun1)=1,IF(AND(YEAR(DecSun1+7)=CalendarYear,MONTH(DecSun1+7)=12),DecSun1+7,""),IF(AND(YEAR(DecSun1+14)=CalendarYear,MONTH(DecSun1+14)=12),DecSun1+14,""))</f>
        <v>40887</v>
      </c>
      <c r="I7" s="32"/>
    </row>
    <row r="8" spans="1:18" ht="55.5" customHeight="1" x14ac:dyDescent="0.2">
      <c r="A8" s="24"/>
      <c r="B8" s="37"/>
      <c r="C8" s="37"/>
      <c r="D8" s="37"/>
      <c r="E8" s="37"/>
      <c r="F8" s="37"/>
      <c r="G8" s="38"/>
      <c r="H8" s="38"/>
      <c r="I8" s="32"/>
    </row>
    <row r="9" spans="1:18" ht="15" customHeight="1" x14ac:dyDescent="0.2">
      <c r="A9" s="24"/>
      <c r="B9" s="39">
        <f>IF(DAY(DecSun1)=1,IF(AND(YEAR(DecSun1+8)=CalendarYear,MONTH(DecSun1+8)=12),DecSun1+8,""),IF(AND(YEAR(DecSun1+15)=CalendarYear,MONTH(DecSun1+15)=12),DecSun1+15,""))</f>
        <v>40888</v>
      </c>
      <c r="C9" s="39">
        <f>IF(DAY(DecSun1)=1,IF(AND(YEAR(DecSun1+9)=CalendarYear,MONTH(DecSun1+9)=12),DecSun1+9,""),IF(AND(YEAR(DecSun1+16)=CalendarYear,MONTH(DecSun1+16)=12),DecSun1+16,""))</f>
        <v>40889</v>
      </c>
      <c r="D9" s="39">
        <f>IF(DAY(DecSun1)=1,IF(AND(YEAR(DecSun1+10)=CalendarYear,MONTH(DecSun1+10)=12),DecSun1+10,""),IF(AND(YEAR(DecSun1+17)=CalendarYear,MONTH(DecSun1+17)=12),DecSun1+17,""))</f>
        <v>40890</v>
      </c>
      <c r="E9" s="39">
        <f>IF(DAY(DecSun1)=1,IF(AND(YEAR(DecSun1+11)=CalendarYear,MONTH(DecSun1+11)=12),DecSun1+11,""),IF(AND(YEAR(DecSun1+18)=CalendarYear,MONTH(DecSun1+18)=12),DecSun1+18,""))</f>
        <v>40891</v>
      </c>
      <c r="F9" s="39">
        <f>IF(DAY(DecSun1)=1,IF(AND(YEAR(DecSun1+12)=CalendarYear,MONTH(DecSun1+12)=12),DecSun1+12,""),IF(AND(YEAR(DecSun1+19)=CalendarYear,MONTH(DecSun1+19)=12),DecSun1+19,""))</f>
        <v>40892</v>
      </c>
      <c r="G9" s="39">
        <f>IF(DAY(DecSun1)=1,IF(AND(YEAR(DecSun1+13)=CalendarYear,MONTH(DecSun1+13)=12),DecSun1+13,""),IF(AND(YEAR(DecSun1+20)=CalendarYear,MONTH(DecSun1+20)=12),DecSun1+20,""))</f>
        <v>40893</v>
      </c>
      <c r="H9" s="39">
        <f>IF(DAY(DecSun1)=1,IF(AND(YEAR(DecSun1+14)=CalendarYear,MONTH(DecSun1+14)=12),DecSun1+14,""),IF(AND(YEAR(DecSun1+21)=CalendarYear,MONTH(DecSun1+21)=12),DecSun1+21,""))</f>
        <v>40894</v>
      </c>
      <c r="I9" s="32"/>
    </row>
    <row r="10" spans="1:18" ht="55.5" customHeight="1" x14ac:dyDescent="0.2">
      <c r="A10" s="24"/>
      <c r="B10" s="34"/>
      <c r="C10" s="34"/>
      <c r="D10" s="34"/>
      <c r="E10" s="34"/>
      <c r="F10" s="34"/>
      <c r="G10" s="35"/>
      <c r="H10" s="35"/>
      <c r="I10" s="32"/>
    </row>
    <row r="11" spans="1:18" ht="15" customHeight="1" x14ac:dyDescent="0.2">
      <c r="A11" s="24"/>
      <c r="B11" s="40">
        <f>IF(DAY(DecSun1)=1,IF(AND(YEAR(DecSun1+15)=CalendarYear,MONTH(DecSun1+15)=12),DecSun1+15,""),IF(AND(YEAR(DecSun1+22)=CalendarYear,MONTH(DecSun1+22)=12),DecSun1+22,""))</f>
        <v>40895</v>
      </c>
      <c r="C11" s="40">
        <f>IF(DAY(DecSun1)=1,IF(AND(YEAR(DecSun1+16)=CalendarYear,MONTH(DecSun1+16)=12),DecSun1+16,""),IF(AND(YEAR(DecSun1+23)=CalendarYear,MONTH(DecSun1+23)=12),DecSun1+23,""))</f>
        <v>40896</v>
      </c>
      <c r="D11" s="40">
        <f>IF(DAY(DecSun1)=1,IF(AND(YEAR(DecSun1+17)=CalendarYear,MONTH(DecSun1+17)=12),DecSun1+17,""),IF(AND(YEAR(DecSun1+24)=CalendarYear,MONTH(DecSun1+24)=12),DecSun1+24,""))</f>
        <v>40897</v>
      </c>
      <c r="E11" s="40">
        <f>IF(DAY(DecSun1)=1,IF(AND(YEAR(DecSun1+18)=CalendarYear,MONTH(DecSun1+18)=12),DecSun1+18,""),IF(AND(YEAR(DecSun1+25)=CalendarYear,MONTH(DecSun1+25)=12),DecSun1+25,""))</f>
        <v>40898</v>
      </c>
      <c r="F11" s="40">
        <f>IF(DAY(DecSun1)=1,IF(AND(YEAR(DecSun1+19)=CalendarYear,MONTH(DecSun1+19)=12),DecSun1+19,""),IF(AND(YEAR(DecSun1+26)=CalendarYear,MONTH(DecSun1+26)=12),DecSun1+26,""))</f>
        <v>40899</v>
      </c>
      <c r="G11" s="40">
        <f>IF(DAY(DecSun1)=1,IF(AND(YEAR(DecSun1+20)=CalendarYear,MONTH(DecSun1+20)=12),DecSun1+20,""),IF(AND(YEAR(DecSun1+27)=CalendarYear,MONTH(DecSun1+27)=12),DecSun1+27,""))</f>
        <v>40900</v>
      </c>
      <c r="H11" s="40">
        <f>IF(DAY(DecSun1)=1,IF(AND(YEAR(DecSun1+21)=CalendarYear,MONTH(DecSun1+21)=12),DecSun1+21,""),IF(AND(YEAR(DecSun1+28)=CalendarYear,MONTH(DecSun1+28)=12),DecSun1+28,""))</f>
        <v>40901</v>
      </c>
      <c r="I11" s="32"/>
    </row>
    <row r="12" spans="1:18" ht="55.5" customHeight="1" x14ac:dyDescent="0.2">
      <c r="A12" s="24"/>
      <c r="B12" s="37"/>
      <c r="C12" s="37"/>
      <c r="D12" s="37"/>
      <c r="E12" s="37"/>
      <c r="F12" s="37"/>
      <c r="G12" s="38"/>
      <c r="H12" s="38"/>
      <c r="I12" s="32"/>
    </row>
    <row r="13" spans="1:18" ht="15" customHeight="1" x14ac:dyDescent="0.2">
      <c r="A13" s="24"/>
      <c r="B13" s="39">
        <f>IF(DAY(DecSun1)=1,IF(AND(YEAR(DecSun1+22)=CalendarYear,MONTH(DecSun1+22)=12),DecSun1+22,""),IF(AND(YEAR(DecSun1+29)=CalendarYear,MONTH(DecSun1+29)=12),DecSun1+29,""))</f>
        <v>40902</v>
      </c>
      <c r="C13" s="39">
        <f>IF(DAY(DecSun1)=1,IF(AND(YEAR(DecSun1+23)=CalendarYear,MONTH(DecSun1+23)=12),DecSun1+23,""),IF(AND(YEAR(DecSun1+30)=CalendarYear,MONTH(DecSun1+30)=12),DecSun1+30,""))</f>
        <v>40903</v>
      </c>
      <c r="D13" s="39">
        <f>IF(DAY(DecSun1)=1,IF(AND(YEAR(DecSun1+24)=CalendarYear,MONTH(DecSun1+24)=12),DecSun1+24,""),IF(AND(YEAR(DecSun1+31)=CalendarYear,MONTH(DecSun1+31)=12),DecSun1+31,""))</f>
        <v>40904</v>
      </c>
      <c r="E13" s="39">
        <f>IF(DAY(DecSun1)=1,IF(AND(YEAR(DecSun1+25)=CalendarYear,MONTH(DecSun1+25)=12),DecSun1+25,""),IF(AND(YEAR(DecSun1+32)=CalendarYear,MONTH(DecSun1+32)=12),DecSun1+32,""))</f>
        <v>40905</v>
      </c>
      <c r="F13" s="39">
        <f>IF(DAY(DecSun1)=1,IF(AND(YEAR(DecSun1+26)=CalendarYear,MONTH(DecSun1+26)=12),DecSun1+26,""),IF(AND(YEAR(DecSun1+33)=CalendarYear,MONTH(DecSun1+33)=12),DecSun1+33,""))</f>
        <v>40906</v>
      </c>
      <c r="G13" s="39">
        <f>IF(DAY(DecSun1)=1,IF(AND(YEAR(DecSun1+27)=CalendarYear,MONTH(DecSun1+27)=12),DecSun1+27,""),IF(AND(YEAR(DecSun1+34)=CalendarYear,MONTH(DecSun1+34)=12),DecSun1+34,""))</f>
        <v>40907</v>
      </c>
      <c r="H13" s="39">
        <f>IF(DAY(DecSun1)=1,IF(AND(YEAR(DecSun1+28)=CalendarYear,MONTH(DecSun1+28)=12),DecSun1+28,""),IF(AND(YEAR(DecSun1+35)=CalendarYear,MONTH(DecSun1+35)=12),DecSun1+35,""))</f>
        <v>40908</v>
      </c>
      <c r="I13" s="32"/>
    </row>
    <row r="14" spans="1:18" ht="55.5" customHeight="1" x14ac:dyDescent="0.2">
      <c r="A14" s="24"/>
      <c r="B14" s="34"/>
      <c r="C14" s="34"/>
      <c r="D14" s="34"/>
      <c r="E14" s="34"/>
      <c r="F14" s="34"/>
      <c r="G14" s="35"/>
      <c r="H14" s="35"/>
      <c r="I14" s="32"/>
    </row>
    <row r="15" spans="1:18" ht="15" customHeight="1" x14ac:dyDescent="0.2">
      <c r="A15" s="24"/>
      <c r="B15" s="41" t="str">
        <f>IF(DAY(DecSun1)=1,IF(AND(YEAR(DecSun1+29)=CalendarYear,MONTH(DecSun1+29)=12),DecSun1+29,""),IF(AND(YEAR(DecSun1+36)=CalendarYear,MONTH(DecSun1+36)=12),DecSun1+36,""))</f>
        <v/>
      </c>
      <c r="C15" s="42" t="str">
        <f>IF(DAY(DecSun1)=1,IF(AND(YEAR(DecSun1+30)=CalendarYear,MONTH(DecSun1+30)=12),DecSun1+30,""),IF(AND(YEAR(DecSun1+37)=CalendarYear,MONTH(DecSun1+37)=12),DecSun1+37,""))</f>
        <v/>
      </c>
      <c r="D15" s="80" t="s">
        <v>8</v>
      </c>
      <c r="E15" s="81"/>
      <c r="F15" s="81"/>
      <c r="G15" s="81"/>
      <c r="H15" s="82"/>
      <c r="I15" s="32"/>
    </row>
    <row r="16" spans="1:18" ht="55.5" customHeight="1" x14ac:dyDescent="0.2">
      <c r="A16" s="24"/>
      <c r="B16" s="43"/>
      <c r="C16" s="43"/>
      <c r="D16" s="77"/>
      <c r="E16" s="78"/>
      <c r="F16" s="78"/>
      <c r="G16" s="78"/>
      <c r="H16" s="79"/>
      <c r="I16" s="32"/>
    </row>
    <row r="17" spans="3:5" ht="22.5" customHeight="1" x14ac:dyDescent="0.2"/>
    <row r="19" spans="3:5" ht="21" customHeight="1" x14ac:dyDescent="0.2">
      <c r="C19" s="44"/>
      <c r="D19" s="45"/>
      <c r="E19" s="46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59" customWidth="1"/>
    <col min="2" max="9" width="13.77734375" style="59" customWidth="1"/>
    <col min="10" max="10" width="12.6640625" style="59" customWidth="1"/>
    <col min="11" max="11" width="2.109375" style="59" customWidth="1"/>
    <col min="12" max="12" width="11.77734375" style="59" customWidth="1"/>
    <col min="13" max="13" width="11.33203125" style="59" customWidth="1"/>
    <col min="14" max="16384" width="6.6640625" style="59"/>
  </cols>
  <sheetData>
    <row r="1" spans="1:18" ht="15" x14ac:dyDescent="0.2">
      <c r="A1" s="58"/>
    </row>
    <row r="2" spans="1:18" ht="26.25" customHeight="1" x14ac:dyDescent="0.2">
      <c r="A2" s="58"/>
    </row>
    <row r="3" spans="1:18" ht="57.75" customHeight="1" x14ac:dyDescent="0.2">
      <c r="A3" s="58"/>
      <c r="B3" s="84" t="str">
        <f>UPPER(TEXT(DATE(CalendarYear,2,1),"mmmm yyyy"))</f>
        <v>فبراير 2011</v>
      </c>
      <c r="C3" s="84"/>
      <c r="D3" s="84"/>
      <c r="E3" s="84"/>
      <c r="F3" s="84"/>
    </row>
    <row r="4" spans="1:18" s="58" customFormat="1" ht="29.25" customHeight="1" x14ac:dyDescent="0.2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59"/>
      <c r="J4" s="59"/>
      <c r="L4" s="59"/>
      <c r="M4" s="60"/>
      <c r="Q4" s="59"/>
      <c r="R4" s="59"/>
    </row>
    <row r="5" spans="1:18" s="58" customFormat="1" ht="15" customHeight="1" x14ac:dyDescent="0.2">
      <c r="B5" s="61" t="str">
        <f>IF(DAY(FebSun1)=1,"",IF(AND(YEAR(FebSun1+1)=CalendarYear,MONTH(FebSun1+1)=2),FebSun1+1,""))</f>
        <v/>
      </c>
      <c r="C5" s="61" t="str">
        <f>IF(DAY(FebSun1)=1,"",IF(AND(YEAR(FebSun1+2)=CalendarYear,MONTH(FebSun1+2)=2),FebSun1+2,""))</f>
        <v/>
      </c>
      <c r="D5" s="61">
        <f>IF(DAY(FebSun1)=1,"",IF(AND(YEAR(FebSun1+3)=CalendarYear,MONTH(FebSun1+3)=2),FebSun1+3,""))</f>
        <v>40575</v>
      </c>
      <c r="E5" s="61">
        <f>IF(DAY(FebSun1)=1,"",IF(AND(YEAR(FebSun1+4)=CalendarYear,MONTH(FebSun1+4)=2),FebSun1+4,""))</f>
        <v>40576</v>
      </c>
      <c r="F5" s="61">
        <f>IF(DAY(FebSun1)=1,"",IF(AND(YEAR(FebSun1+5)=CalendarYear,MONTH(FebSun1+5)=2),FebSun1+5,""))</f>
        <v>40577</v>
      </c>
      <c r="G5" s="61">
        <f>IF(DAY(FebSun1)=1,"",IF(AND(YEAR(FebSun1+6)=CalendarYear,MONTH(FebSun1+6)=2),FebSun1+6,""))</f>
        <v>40578</v>
      </c>
      <c r="H5" s="61">
        <f>IF(DAY(FebSun1)=1,IF(AND(YEAR(FebSun1)=CalendarYear,MONTH(FebSun1)=2),FebSun1,""),IF(AND(YEAR(FebSun1+7)=CalendarYear,MONTH(FebSun1+7)=2),FebSun1+7,""))</f>
        <v>40579</v>
      </c>
      <c r="I5" s="62"/>
      <c r="K5" s="59"/>
      <c r="L5" s="59"/>
      <c r="M5" s="59"/>
      <c r="Q5" s="63"/>
      <c r="R5" s="59"/>
    </row>
    <row r="6" spans="1:18" s="63" customFormat="1" ht="55.5" customHeight="1" x14ac:dyDescent="0.2">
      <c r="A6" s="58"/>
      <c r="B6" s="64"/>
      <c r="C6" s="64"/>
      <c r="D6" s="64"/>
      <c r="E6" s="64"/>
      <c r="F6" s="64"/>
      <c r="G6" s="65"/>
      <c r="H6" s="65"/>
      <c r="I6" s="62"/>
    </row>
    <row r="7" spans="1:18" ht="15" customHeight="1" x14ac:dyDescent="0.2">
      <c r="A7" s="58"/>
      <c r="B7" s="66">
        <f>IF(DAY(FebSun1)=1,IF(AND(YEAR(FebSun1+1)=CalendarYear,MONTH(FebSun1+1)=2),FebSun1+1,""),IF(AND(YEAR(FebSun1+8)=CalendarYear,MONTH(FebSun1+8)=2),FebSun1+8,""))</f>
        <v>40580</v>
      </c>
      <c r="C7" s="66">
        <f>IF(DAY(FebSun1)=1,IF(AND(YEAR(FebSun1+2)=CalendarYear,MONTH(FebSun1+2)=2),FebSun1+2,""),IF(AND(YEAR(FebSun1+9)=CalendarYear,MONTH(FebSun1+9)=2),FebSun1+9,""))</f>
        <v>40581</v>
      </c>
      <c r="D7" s="66">
        <f>IF(DAY(FebSun1)=1,IF(AND(YEAR(FebSun1+3)=CalendarYear,MONTH(FebSun1+3)=2),FebSun1+3,""),IF(AND(YEAR(FebSun1+10)=CalendarYear,MONTH(FebSun1+10)=2),FebSun1+10,""))</f>
        <v>40582</v>
      </c>
      <c r="E7" s="66">
        <f>IF(DAY(FebSun1)=1,IF(AND(YEAR(FebSun1+4)=CalendarYear,MONTH(FebSun1+4)=2),FebSun1+4,""),IF(AND(YEAR(FebSun1+11)=CalendarYear,MONTH(FebSun1+11)=2),FebSun1+11,""))</f>
        <v>40583</v>
      </c>
      <c r="F7" s="66">
        <f>IF(DAY(FebSun1)=1,IF(AND(YEAR(FebSun1+5)=CalendarYear,MONTH(FebSun1+5)=2),FebSun1+5,""),IF(AND(YEAR(FebSun1+12)=CalendarYear,MONTH(FebSun1+12)=2),FebSun1+12,""))</f>
        <v>40584</v>
      </c>
      <c r="G7" s="66">
        <f>IF(DAY(FebSun1)=1,IF(AND(YEAR(FebSun1+6)=CalendarYear,MONTH(FebSun1+6)=2),FebSun1+6,""),IF(AND(YEAR(FebSun1+13)=CalendarYear,MONTH(FebSun1+13)=2),FebSun1+13,""))</f>
        <v>40585</v>
      </c>
      <c r="H7" s="66">
        <f>IF(DAY(FebSun1)=1,IF(AND(YEAR(FebSun1+7)=CalendarYear,MONTH(FebSun1+7)=2),FebSun1+7,""),IF(AND(YEAR(FebSun1+14)=CalendarYear,MONTH(FebSun1+14)=2),FebSun1+14,""))</f>
        <v>40586</v>
      </c>
      <c r="I7" s="62"/>
    </row>
    <row r="8" spans="1:18" ht="55.5" customHeight="1" x14ac:dyDescent="0.2">
      <c r="A8" s="58"/>
      <c r="B8" s="67"/>
      <c r="C8" s="67"/>
      <c r="D8" s="67"/>
      <c r="E8" s="67"/>
      <c r="F8" s="67"/>
      <c r="G8" s="68"/>
      <c r="H8" s="68"/>
      <c r="I8" s="62"/>
    </row>
    <row r="9" spans="1:18" ht="15" customHeight="1" x14ac:dyDescent="0.2">
      <c r="A9" s="58"/>
      <c r="B9" s="69">
        <f>IF(DAY(FebSun1)=1,IF(AND(YEAR(FebSun1+8)=CalendarYear,MONTH(FebSun1+8)=2),FebSun1+8,""),IF(AND(YEAR(FebSun1+15)=CalendarYear,MONTH(FebSun1+15)=2),FebSun1+15,""))</f>
        <v>40587</v>
      </c>
      <c r="C9" s="69">
        <f>IF(DAY(FebSun1)=1,IF(AND(YEAR(FebSun1+9)=CalendarYear,MONTH(FebSun1+9)=2),FebSun1+9,""),IF(AND(YEAR(FebSun1+16)=CalendarYear,MONTH(FebSun1+16)=2),FebSun1+16,""))</f>
        <v>40588</v>
      </c>
      <c r="D9" s="69">
        <f>IF(DAY(FebSun1)=1,IF(AND(YEAR(FebSun1+10)=CalendarYear,MONTH(FebSun1+10)=2),FebSun1+10,""),IF(AND(YEAR(FebSun1+17)=CalendarYear,MONTH(FebSun1+17)=2),FebSun1+17,""))</f>
        <v>40589</v>
      </c>
      <c r="E9" s="69">
        <f>IF(DAY(FebSun1)=1,IF(AND(YEAR(FebSun1+11)=CalendarYear,MONTH(FebSun1+11)=2),FebSun1+11,""),IF(AND(YEAR(FebSun1+18)=CalendarYear,MONTH(FebSun1+18)=2),FebSun1+18,""))</f>
        <v>40590</v>
      </c>
      <c r="F9" s="69">
        <f>IF(DAY(FebSun1)=1,IF(AND(YEAR(FebSun1+12)=CalendarYear,MONTH(FebSun1+12)=2),FebSun1+12,""),IF(AND(YEAR(FebSun1+19)=CalendarYear,MONTH(FebSun1+19)=2),FebSun1+19,""))</f>
        <v>40591</v>
      </c>
      <c r="G9" s="69">
        <f>IF(DAY(FebSun1)=1,IF(AND(YEAR(FebSun1+13)=CalendarYear,MONTH(FebSun1+13)=2),FebSun1+13,""),IF(AND(YEAR(FebSun1+20)=CalendarYear,MONTH(FebSun1+20)=2),FebSun1+20,""))</f>
        <v>40592</v>
      </c>
      <c r="H9" s="69">
        <f>IF(DAY(FebSun1)=1,IF(AND(YEAR(FebSun1+14)=CalendarYear,MONTH(FebSun1+14)=2),FebSun1+14,""),IF(AND(YEAR(FebSun1+21)=CalendarYear,MONTH(FebSun1+21)=2),FebSun1+21,""))</f>
        <v>40593</v>
      </c>
      <c r="I9" s="62"/>
    </row>
    <row r="10" spans="1:18" ht="55.5" customHeight="1" x14ac:dyDescent="0.2">
      <c r="A10" s="58"/>
      <c r="B10" s="64"/>
      <c r="C10" s="64"/>
      <c r="D10" s="64"/>
      <c r="E10" s="64"/>
      <c r="F10" s="64"/>
      <c r="G10" s="65"/>
      <c r="H10" s="65"/>
      <c r="I10" s="62"/>
    </row>
    <row r="11" spans="1:18" ht="15" customHeight="1" x14ac:dyDescent="0.2">
      <c r="A11" s="58"/>
      <c r="B11" s="70">
        <f>IF(DAY(FebSun1)=1,IF(AND(YEAR(FebSun1+15)=CalendarYear,MONTH(FebSun1+15)=2),FebSun1+15,""),IF(AND(YEAR(FebSun1+22)=CalendarYear,MONTH(FebSun1+22)=2),FebSun1+22,""))</f>
        <v>40594</v>
      </c>
      <c r="C11" s="70">
        <f>IF(DAY(FebSun1)=1,IF(AND(YEAR(FebSun1+16)=CalendarYear,MONTH(FebSun1+16)=2),FebSun1+16,""),IF(AND(YEAR(FebSun1+23)=CalendarYear,MONTH(FebSun1+23)=2),FebSun1+23,""))</f>
        <v>40595</v>
      </c>
      <c r="D11" s="70">
        <f>IF(DAY(FebSun1)=1,IF(AND(YEAR(FebSun1+17)=CalendarYear,MONTH(FebSun1+17)=2),FebSun1+17,""),IF(AND(YEAR(FebSun1+24)=CalendarYear,MONTH(FebSun1+24)=2),FebSun1+24,""))</f>
        <v>40596</v>
      </c>
      <c r="E11" s="70">
        <f>IF(DAY(FebSun1)=1,IF(AND(YEAR(FebSun1+18)=CalendarYear,MONTH(FebSun1+18)=2),FebSun1+18,""),IF(AND(YEAR(FebSun1+25)=CalendarYear,MONTH(FebSun1+25)=2),FebSun1+25,""))</f>
        <v>40597</v>
      </c>
      <c r="F11" s="70">
        <f>IF(DAY(FebSun1)=1,IF(AND(YEAR(FebSun1+19)=CalendarYear,MONTH(FebSun1+19)=2),FebSun1+19,""),IF(AND(YEAR(FebSun1+26)=CalendarYear,MONTH(FebSun1+26)=2),FebSun1+26,""))</f>
        <v>40598</v>
      </c>
      <c r="G11" s="70">
        <f>IF(DAY(FebSun1)=1,IF(AND(YEAR(FebSun1+20)=CalendarYear,MONTH(FebSun1+20)=2),FebSun1+20,""),IF(AND(YEAR(FebSun1+27)=CalendarYear,MONTH(FebSun1+27)=2),FebSun1+27,""))</f>
        <v>40599</v>
      </c>
      <c r="H11" s="70">
        <f>IF(DAY(FebSun1)=1,IF(AND(YEAR(FebSun1+21)=CalendarYear,MONTH(FebSun1+21)=2),FebSun1+21,""),IF(AND(YEAR(FebSun1+28)=CalendarYear,MONTH(FebSun1+28)=2),FebSun1+28,""))</f>
        <v>40600</v>
      </c>
      <c r="I11" s="62"/>
    </row>
    <row r="12" spans="1:18" ht="55.5" customHeight="1" x14ac:dyDescent="0.2">
      <c r="A12" s="58"/>
      <c r="B12" s="67"/>
      <c r="C12" s="67"/>
      <c r="D12" s="67"/>
      <c r="E12" s="67"/>
      <c r="F12" s="67"/>
      <c r="G12" s="68"/>
      <c r="H12" s="68"/>
      <c r="I12" s="62"/>
    </row>
    <row r="13" spans="1:18" ht="15" customHeight="1" x14ac:dyDescent="0.2">
      <c r="A13" s="58"/>
      <c r="B13" s="69">
        <f>IF(DAY(FebSun1)=1,IF(AND(YEAR(FebSun1+22)=CalendarYear,MONTH(FebSun1+22)=2),FebSun1+22,""),IF(AND(YEAR(FebSun1+29)=CalendarYear,MONTH(FebSun1+29)=2),FebSun1+29,""))</f>
        <v>40601</v>
      </c>
      <c r="C13" s="69">
        <f>IF(DAY(FebSun1)=1,IF(AND(YEAR(FebSun1+23)=CalendarYear,MONTH(FebSun1+23)=2),FebSun1+23,""),IF(AND(YEAR(FebSun1+30)=CalendarYear,MONTH(FebSun1+30)=2),FebSun1+30,""))</f>
        <v>40602</v>
      </c>
      <c r="D13" s="69" t="str">
        <f>IF(DAY(FebSun1)=1,IF(AND(YEAR(FebSun1+24)=CalendarYear,MONTH(FebSun1+24)=2),FebSun1+24,""),IF(AND(YEAR(FebSun1+31)=CalendarYear,MONTH(FebSun1+31)=2),FebSun1+31,""))</f>
        <v/>
      </c>
      <c r="E13" s="69" t="str">
        <f>IF(DAY(FebSun1)=1,IF(AND(YEAR(FebSun1+25)=CalendarYear,MONTH(FebSun1+25)=2),FebSun1+25,""),IF(AND(YEAR(FebSun1+32)=CalendarYear,MONTH(FebSun1+32)=2),FebSun1+32,""))</f>
        <v/>
      </c>
      <c r="F13" s="69" t="str">
        <f>IF(DAY(FebSun1)=1,IF(AND(YEAR(FebSun1+26)=CalendarYear,MONTH(FebSun1+26)=2),FebSun1+26,""),IF(AND(YEAR(FebSun1+33)=CalendarYear,MONTH(FebSun1+33)=2),FebSun1+33,""))</f>
        <v/>
      </c>
      <c r="G13" s="69" t="str">
        <f>IF(DAY(FebSun1)=1,IF(AND(YEAR(FebSun1+27)=CalendarYear,MONTH(FebSun1+27)=2),FebSun1+27,""),IF(AND(YEAR(FebSun1+34)=CalendarYear,MONTH(FebSun1+34)=2),FebSun1+34,""))</f>
        <v/>
      </c>
      <c r="H13" s="69" t="str">
        <f>IF(DAY(FebSun1)=1,IF(AND(YEAR(FebSun1+28)=CalendarYear,MONTH(FebSun1+28)=2),FebSun1+28,""),IF(AND(YEAR(FebSun1+35)=CalendarYear,MONTH(FebSun1+35)=2),FebSun1+35,""))</f>
        <v/>
      </c>
      <c r="I13" s="62"/>
    </row>
    <row r="14" spans="1:18" ht="55.5" customHeight="1" x14ac:dyDescent="0.2">
      <c r="A14" s="58"/>
      <c r="B14" s="64"/>
      <c r="C14" s="64"/>
      <c r="D14" s="64"/>
      <c r="E14" s="64"/>
      <c r="F14" s="64"/>
      <c r="G14" s="65"/>
      <c r="H14" s="65"/>
      <c r="I14" s="62"/>
    </row>
    <row r="15" spans="1:18" ht="15" customHeight="1" x14ac:dyDescent="0.2">
      <c r="A15" s="58"/>
      <c r="B15" s="71" t="str">
        <f>IF(DAY(FebSun1)=1,IF(AND(YEAR(FebSun1+29)=CalendarYear,MONTH(FebSun1+29)=2),FebSun1+29,""),IF(AND(YEAR(FebSun1+36)=CalendarYear,MONTH(FebSun1+36)=2),FebSun1+36,""))</f>
        <v/>
      </c>
      <c r="C15" s="72" t="str">
        <f>IF(DAY(FebSun1)=1,IF(AND(YEAR(FebSun1+30)=CalendarYear,MONTH(FebSun1+30)=2),FebSun1+30,""),IF(AND(YEAR(FebSun1+37)=CalendarYear,MONTH(FebSun1+37)=2),FebSun1+37,""))</f>
        <v/>
      </c>
      <c r="D15" s="85" t="s">
        <v>8</v>
      </c>
      <c r="E15" s="86"/>
      <c r="F15" s="86"/>
      <c r="G15" s="86"/>
      <c r="H15" s="87"/>
      <c r="I15" s="62"/>
    </row>
    <row r="16" spans="1:18" ht="55.5" customHeight="1" x14ac:dyDescent="0.2">
      <c r="A16" s="58"/>
      <c r="B16" s="73"/>
      <c r="C16" s="73"/>
      <c r="D16" s="88"/>
      <c r="E16" s="89"/>
      <c r="F16" s="89"/>
      <c r="G16" s="89"/>
      <c r="H16" s="90"/>
      <c r="I16" s="62"/>
    </row>
    <row r="17" spans="3:5" ht="17.25" customHeight="1" x14ac:dyDescent="0.2"/>
    <row r="19" spans="3:5" ht="21" customHeight="1" x14ac:dyDescent="0.2">
      <c r="C19" s="74"/>
      <c r="D19" s="75"/>
      <c r="E19" s="76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91" t="str">
        <f>UPPER(TEXT(DATE(CalendarYear,3,1),"mmmm yyyy"))</f>
        <v>مارس 2011</v>
      </c>
      <c r="C3" s="91"/>
      <c r="D3" s="91"/>
      <c r="E3" s="91"/>
      <c r="F3" s="91"/>
    </row>
    <row r="4" spans="1:18" customFormat="1" ht="29.25" customHeight="1" x14ac:dyDescent="0.25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3" t="str">
        <f>IF(DAY(MarSun1)=1,"",IF(AND(YEAR(MarSun1+1)=CalendarYear,MONTH(MarSun1+1)=3),MarSun1+1,""))</f>
        <v/>
      </c>
      <c r="C5" s="23" t="str">
        <f>IF(DAY(MarSun1)=1,"",IF(AND(YEAR(MarSun1+2)=CalendarYear,MONTH(MarSun1+2)=3),MarSun1+2,""))</f>
        <v/>
      </c>
      <c r="D5" s="23">
        <f>IF(DAY(MarSun1)=1,"",IF(AND(YEAR(MarSun1+3)=CalendarYear,MONTH(MarSun1+3)=3),MarSun1+3,""))</f>
        <v>40603</v>
      </c>
      <c r="E5" s="23">
        <f>IF(DAY(MarSun1)=1,"",IF(AND(YEAR(MarSun1+4)=CalendarYear,MONTH(MarSun1+4)=3),MarSun1+4,""))</f>
        <v>40604</v>
      </c>
      <c r="F5" s="23">
        <f>IF(DAY(MarSun1)=1,"",IF(AND(YEAR(MarSun1+5)=CalendarYear,MONTH(MarSun1+5)=3),MarSun1+5,""))</f>
        <v>40605</v>
      </c>
      <c r="G5" s="23">
        <f>IF(DAY(MarSun1)=1,"",IF(AND(YEAR(MarSun1+6)=CalendarYear,MONTH(MarSun1+6)=3),MarSun1+6,""))</f>
        <v>40606</v>
      </c>
      <c r="H5" s="23">
        <f>IF(DAY(MarSun1)=1,IF(AND(YEAR(MarSun1)=CalendarYear,MONTH(MarSun1)=3),MarSun1,""),IF(AND(YEAR(MarSun1+7)=CalendarYear,MONTH(MarSun1+7)=3),MarSun1+7,""))</f>
        <v>40607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6"/>
      <c r="C6" s="16"/>
      <c r="D6" s="16"/>
      <c r="E6" s="16"/>
      <c r="F6" s="16"/>
      <c r="G6" s="17"/>
      <c r="H6" s="17"/>
      <c r="I6" s="3"/>
    </row>
    <row r="7" spans="1:18" ht="15" customHeight="1" x14ac:dyDescent="0.25">
      <c r="A7"/>
      <c r="B7" s="18">
        <f>IF(DAY(MarSun1)=1,IF(AND(YEAR(MarSun1+1)=CalendarYear,MONTH(MarSun1+1)=3),MarSun1+1,""),IF(AND(YEAR(MarSun1+8)=CalendarYear,MONTH(MarSun1+8)=3),MarSun1+8,""))</f>
        <v>40608</v>
      </c>
      <c r="C7" s="18">
        <f>IF(DAY(MarSun1)=1,IF(AND(YEAR(MarSun1+2)=CalendarYear,MONTH(MarSun1+2)=3),MarSun1+2,""),IF(AND(YEAR(MarSun1+9)=CalendarYear,MONTH(MarSun1+9)=3),MarSun1+9,""))</f>
        <v>40609</v>
      </c>
      <c r="D7" s="18">
        <f>IF(DAY(MarSun1)=1,IF(AND(YEAR(MarSun1+3)=CalendarYear,MONTH(MarSun1+3)=3),MarSun1+3,""),IF(AND(YEAR(MarSun1+10)=CalendarYear,MONTH(MarSun1+10)=3),MarSun1+10,""))</f>
        <v>40610</v>
      </c>
      <c r="E7" s="18">
        <f>IF(DAY(MarSun1)=1,IF(AND(YEAR(MarSun1+4)=CalendarYear,MONTH(MarSun1+4)=3),MarSun1+4,""),IF(AND(YEAR(MarSun1+11)=CalendarYear,MONTH(MarSun1+11)=3),MarSun1+11,""))</f>
        <v>40611</v>
      </c>
      <c r="F7" s="18">
        <f>IF(DAY(MarSun1)=1,IF(AND(YEAR(MarSun1+5)=CalendarYear,MONTH(MarSun1+5)=3),MarSun1+5,""),IF(AND(YEAR(MarSun1+12)=CalendarYear,MONTH(MarSun1+12)=3),MarSun1+12,""))</f>
        <v>40612</v>
      </c>
      <c r="G7" s="18">
        <f>IF(DAY(MarSun1)=1,IF(AND(YEAR(MarSun1+6)=CalendarYear,MONTH(MarSun1+6)=3),MarSun1+6,""),IF(AND(YEAR(MarSun1+13)=CalendarYear,MONTH(MarSun1+13)=3),MarSun1+13,""))</f>
        <v>40613</v>
      </c>
      <c r="H7" s="18">
        <f>IF(DAY(MarSun1)=1,IF(AND(YEAR(MarSun1+7)=CalendarYear,MONTH(MarSun1+7)=3),MarSun1+7,""),IF(AND(YEAR(MarSun1+14)=CalendarYear,MONTH(MarSun1+14)=3),MarSun1+14,""))</f>
        <v>40614</v>
      </c>
      <c r="I7" s="3"/>
    </row>
    <row r="8" spans="1:18" ht="55.5" customHeight="1" x14ac:dyDescent="0.25">
      <c r="A8"/>
      <c r="B8" s="19"/>
      <c r="C8" s="19"/>
      <c r="D8" s="19"/>
      <c r="E8" s="19"/>
      <c r="F8" s="19"/>
      <c r="G8" s="20"/>
      <c r="H8" s="20"/>
      <c r="I8" s="3"/>
    </row>
    <row r="9" spans="1:18" ht="15" customHeight="1" x14ac:dyDescent="0.25">
      <c r="A9"/>
      <c r="B9" s="15">
        <f>IF(DAY(MarSun1)=1,IF(AND(YEAR(MarSun1+8)=CalendarYear,MONTH(MarSun1+8)=3),MarSun1+8,""),IF(AND(YEAR(MarSun1+15)=CalendarYear,MONTH(MarSun1+15)=3),MarSun1+15,""))</f>
        <v>40615</v>
      </c>
      <c r="C9" s="15">
        <f>IF(DAY(MarSun1)=1,IF(AND(YEAR(MarSun1+9)=CalendarYear,MONTH(MarSun1+9)=3),MarSun1+9,""),IF(AND(YEAR(MarSun1+16)=CalendarYear,MONTH(MarSun1+16)=3),MarSun1+16,""))</f>
        <v>40616</v>
      </c>
      <c r="D9" s="15">
        <f>IF(DAY(MarSun1)=1,IF(AND(YEAR(MarSun1+10)=CalendarYear,MONTH(MarSun1+10)=3),MarSun1+10,""),IF(AND(YEAR(MarSun1+17)=CalendarYear,MONTH(MarSun1+17)=3),MarSun1+17,""))</f>
        <v>40617</v>
      </c>
      <c r="E9" s="15">
        <f>IF(DAY(MarSun1)=1,IF(AND(YEAR(MarSun1+11)=CalendarYear,MONTH(MarSun1+11)=3),MarSun1+11,""),IF(AND(YEAR(MarSun1+18)=CalendarYear,MONTH(MarSun1+18)=3),MarSun1+18,""))</f>
        <v>40618</v>
      </c>
      <c r="F9" s="15">
        <f>IF(DAY(MarSun1)=1,IF(AND(YEAR(MarSun1+12)=CalendarYear,MONTH(MarSun1+12)=3),MarSun1+12,""),IF(AND(YEAR(MarSun1+19)=CalendarYear,MONTH(MarSun1+19)=3),MarSun1+19,""))</f>
        <v>40619</v>
      </c>
      <c r="G9" s="15">
        <f>IF(DAY(MarSun1)=1,IF(AND(YEAR(MarSun1+13)=CalendarYear,MONTH(MarSun1+13)=3),MarSun1+13,""),IF(AND(YEAR(MarSun1+20)=CalendarYear,MONTH(MarSun1+20)=3),MarSun1+20,""))</f>
        <v>40620</v>
      </c>
      <c r="H9" s="15">
        <f>IF(DAY(MarSun1)=1,IF(AND(YEAR(MarSun1+14)=CalendarYear,MONTH(MarSun1+14)=3),MarSun1+14,""),IF(AND(YEAR(MarSun1+21)=CalendarYear,MONTH(MarSun1+21)=3),MarSun1+21,""))</f>
        <v>40621</v>
      </c>
      <c r="I9" s="3"/>
    </row>
    <row r="10" spans="1:18" ht="55.5" customHeight="1" x14ac:dyDescent="0.25">
      <c r="A10"/>
      <c r="B10" s="16"/>
      <c r="C10" s="16"/>
      <c r="D10" s="16"/>
      <c r="E10" s="16"/>
      <c r="F10" s="16"/>
      <c r="G10" s="17"/>
      <c r="H10" s="17"/>
      <c r="I10" s="3"/>
    </row>
    <row r="11" spans="1:18" ht="15" customHeight="1" x14ac:dyDescent="0.25">
      <c r="A11"/>
      <c r="B11" s="21">
        <f>IF(DAY(MarSun1)=1,IF(AND(YEAR(MarSun1+15)=CalendarYear,MONTH(MarSun1+15)=3),MarSun1+15,""),IF(AND(YEAR(MarSun1+22)=CalendarYear,MONTH(MarSun1+22)=3),MarSun1+22,""))</f>
        <v>40622</v>
      </c>
      <c r="C11" s="21">
        <f>IF(DAY(MarSun1)=1,IF(AND(YEAR(MarSun1+16)=CalendarYear,MONTH(MarSun1+16)=3),MarSun1+16,""),IF(AND(YEAR(MarSun1+23)=CalendarYear,MONTH(MarSun1+23)=3),MarSun1+23,""))</f>
        <v>40623</v>
      </c>
      <c r="D11" s="21">
        <f>IF(DAY(MarSun1)=1,IF(AND(YEAR(MarSun1+17)=CalendarYear,MONTH(MarSun1+17)=3),MarSun1+17,""),IF(AND(YEAR(MarSun1+24)=CalendarYear,MONTH(MarSun1+24)=3),MarSun1+24,""))</f>
        <v>40624</v>
      </c>
      <c r="E11" s="21">
        <f>IF(DAY(MarSun1)=1,IF(AND(YEAR(MarSun1+18)=CalendarYear,MONTH(MarSun1+18)=3),MarSun1+18,""),IF(AND(YEAR(MarSun1+25)=CalendarYear,MONTH(MarSun1+25)=3),MarSun1+25,""))</f>
        <v>40625</v>
      </c>
      <c r="F11" s="21">
        <f>IF(DAY(MarSun1)=1,IF(AND(YEAR(MarSun1+19)=CalendarYear,MONTH(MarSun1+19)=3),MarSun1+19,""),IF(AND(YEAR(MarSun1+26)=CalendarYear,MONTH(MarSun1+26)=3),MarSun1+26,""))</f>
        <v>40626</v>
      </c>
      <c r="G11" s="21">
        <f>IF(DAY(MarSun1)=1,IF(AND(YEAR(MarSun1+20)=CalendarYear,MONTH(MarSun1+20)=3),MarSun1+20,""),IF(AND(YEAR(MarSun1+27)=CalendarYear,MONTH(MarSun1+27)=3),MarSun1+27,""))</f>
        <v>40627</v>
      </c>
      <c r="H11" s="21">
        <f>IF(DAY(MarSun1)=1,IF(AND(YEAR(MarSun1+21)=CalendarYear,MONTH(MarSun1+21)=3),MarSun1+21,""),IF(AND(YEAR(MarSun1+28)=CalendarYear,MONTH(MarSun1+28)=3),MarSun1+28,""))</f>
        <v>40628</v>
      </c>
      <c r="I11" s="3"/>
    </row>
    <row r="12" spans="1:18" ht="55.5" customHeight="1" x14ac:dyDescent="0.25">
      <c r="A12"/>
      <c r="B12" s="19"/>
      <c r="C12" s="19"/>
      <c r="D12" s="19"/>
      <c r="E12" s="19"/>
      <c r="F12" s="19"/>
      <c r="G12" s="20"/>
      <c r="H12" s="20"/>
      <c r="I12" s="3"/>
    </row>
    <row r="13" spans="1:18" ht="15" customHeight="1" x14ac:dyDescent="0.25">
      <c r="A13"/>
      <c r="B13" s="15">
        <f>IF(DAY(MarSun1)=1,IF(AND(YEAR(MarSun1+22)=CalendarYear,MONTH(MarSun1+22)=3),MarSun1+22,""),IF(AND(YEAR(MarSun1+29)=CalendarYear,MONTH(MarSun1+29)=3),MarSun1+29,""))</f>
        <v>40629</v>
      </c>
      <c r="C13" s="15">
        <f>IF(DAY(MarSun1)=1,IF(AND(YEAR(MarSun1+23)=CalendarYear,MONTH(MarSun1+23)=3),MarSun1+23,""),IF(AND(YEAR(MarSun1+30)=CalendarYear,MONTH(MarSun1+30)=3),MarSun1+30,""))</f>
        <v>40630</v>
      </c>
      <c r="D13" s="15">
        <f>IF(DAY(MarSun1)=1,IF(AND(YEAR(MarSun1+24)=CalendarYear,MONTH(MarSun1+24)=3),MarSun1+24,""),IF(AND(YEAR(MarSun1+31)=CalendarYear,MONTH(MarSun1+31)=3),MarSun1+31,""))</f>
        <v>40631</v>
      </c>
      <c r="E13" s="15">
        <f>IF(DAY(MarSun1)=1,IF(AND(YEAR(MarSun1+25)=CalendarYear,MONTH(MarSun1+25)=3),MarSun1+25,""),IF(AND(YEAR(MarSun1+32)=CalendarYear,MONTH(MarSun1+32)=3),MarSun1+32,""))</f>
        <v>40632</v>
      </c>
      <c r="F13" s="15">
        <f>IF(DAY(MarSun1)=1,IF(AND(YEAR(MarSun1+26)=CalendarYear,MONTH(MarSun1+26)=3),MarSun1+26,""),IF(AND(YEAR(MarSun1+33)=CalendarYear,MONTH(MarSun1+33)=3),MarSun1+33,""))</f>
        <v>40633</v>
      </c>
      <c r="G13" s="15" t="str">
        <f>IF(DAY(MarSun1)=1,IF(AND(YEAR(MarSun1+27)=CalendarYear,MONTH(MarSun1+27)=3),MarSun1+27,""),IF(AND(YEAR(MarSun1+34)=CalendarYear,MONTH(MarSun1+34)=3),MarSun1+34,""))</f>
        <v/>
      </c>
      <c r="H13" s="15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 x14ac:dyDescent="0.25">
      <c r="A14"/>
      <c r="B14" s="16"/>
      <c r="C14" s="16"/>
      <c r="D14" s="16"/>
      <c r="E14" s="16"/>
      <c r="F14" s="16"/>
      <c r="G14" s="17"/>
      <c r="H14" s="17"/>
      <c r="I14" s="3"/>
    </row>
    <row r="15" spans="1:18" ht="15" customHeight="1" x14ac:dyDescent="0.25">
      <c r="A15"/>
      <c r="B15" s="9" t="str">
        <f>IF(DAY(MarSun1)=1,IF(AND(YEAR(MarSun1+29)=CalendarYear,MONTH(MarSun1+29)=3),MarSun1+29,""),IF(AND(YEAR(MarSun1+36)=CalendarYear,MONTH(MarSun1+36)=3),MarSun1+36,""))</f>
        <v/>
      </c>
      <c r="C15" s="10" t="str">
        <f>IF(DAY(MarSun1)=1,IF(AND(YEAR(MarSun1+30)=CalendarYear,MONTH(MarSun1+30)=3),MarSun1+30,""),IF(AND(YEAR(MarSun1+37)=CalendarYear,MONTH(MarSun1+37)=3),MarSun1+37,""))</f>
        <v/>
      </c>
      <c r="D15" s="85" t="s">
        <v>8</v>
      </c>
      <c r="E15" s="86"/>
      <c r="F15" s="86"/>
      <c r="G15" s="86"/>
      <c r="H15" s="87"/>
      <c r="I15" s="3"/>
    </row>
    <row r="16" spans="1:18" ht="55.5" customHeight="1" x14ac:dyDescent="0.25">
      <c r="A16"/>
      <c r="B16" s="8"/>
      <c r="C16" s="8"/>
      <c r="D16" s="92"/>
      <c r="E16" s="93"/>
      <c r="F16" s="93"/>
      <c r="G16" s="93"/>
      <c r="H16" s="9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95" t="str">
        <f>UPPER(TEXT(DATE(CalendarYear,4,1),"mmmm yyyy"))</f>
        <v>أبريل 2011</v>
      </c>
      <c r="C3" s="95"/>
      <c r="D3" s="95"/>
      <c r="E3" s="95"/>
      <c r="F3" s="95"/>
    </row>
    <row r="4" spans="1:18" customFormat="1" ht="29.25" customHeight="1" x14ac:dyDescent="0.25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3" t="str">
        <f>IF(DAY(AprSun1)=1,"",IF(AND(YEAR(AprSun1+1)=CalendarYear,MONTH(AprSun1+1)=4),AprSun1+1,""))</f>
        <v/>
      </c>
      <c r="C5" s="23" t="str">
        <f>IF(DAY(AprSun1)=1,"",IF(AND(YEAR(AprSun1+2)=CalendarYear,MONTH(AprSun1+2)=4),AprSun1+2,""))</f>
        <v/>
      </c>
      <c r="D5" s="23" t="str">
        <f>IF(DAY(AprSun1)=1,"",IF(AND(YEAR(AprSun1+3)=CalendarYear,MONTH(AprSun1+3)=4),AprSun1+3,""))</f>
        <v/>
      </c>
      <c r="E5" s="23" t="str">
        <f>IF(DAY(AprSun1)=1,"",IF(AND(YEAR(AprSun1+4)=CalendarYear,MONTH(AprSun1+4)=4),AprSun1+4,""))</f>
        <v/>
      </c>
      <c r="F5" s="23" t="str">
        <f>IF(DAY(AprSun1)=1,"",IF(AND(YEAR(AprSun1+5)=CalendarYear,MONTH(AprSun1+5)=4),AprSun1+5,""))</f>
        <v/>
      </c>
      <c r="G5" s="23">
        <f>IF(DAY(AprSun1)=1,"",IF(AND(YEAR(AprSun1+6)=CalendarYear,MONTH(AprSun1+6)=4),AprSun1+6,""))</f>
        <v>40634</v>
      </c>
      <c r="H5" s="23">
        <f>IF(DAY(AprSun1)=1,IF(AND(YEAR(AprSun1)=CalendarYear,MONTH(AprSun1)=4),AprSun1,""),IF(AND(YEAR(AprSun1+7)=CalendarYear,MONTH(AprSun1+7)=4),AprSun1+7,""))</f>
        <v>40635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6"/>
      <c r="C6" s="16"/>
      <c r="D6" s="16"/>
      <c r="E6" s="16"/>
      <c r="F6" s="16"/>
      <c r="G6" s="17"/>
      <c r="H6" s="17"/>
      <c r="I6" s="3"/>
    </row>
    <row r="7" spans="1:18" ht="15" customHeight="1" x14ac:dyDescent="0.25">
      <c r="A7"/>
      <c r="B7" s="18">
        <f>IF(DAY(AprSun1)=1,IF(AND(YEAR(AprSun1+1)=CalendarYear,MONTH(AprSun1+1)=4),AprSun1+1,""),IF(AND(YEAR(AprSun1+8)=CalendarYear,MONTH(AprSun1+8)=4),AprSun1+8,""))</f>
        <v>40636</v>
      </c>
      <c r="C7" s="18">
        <f>IF(DAY(AprSun1)=1,IF(AND(YEAR(AprSun1+2)=CalendarYear,MONTH(AprSun1+2)=4),AprSun1+2,""),IF(AND(YEAR(AprSun1+9)=CalendarYear,MONTH(AprSun1+9)=4),AprSun1+9,""))</f>
        <v>40637</v>
      </c>
      <c r="D7" s="18">
        <f>IF(DAY(AprSun1)=1,IF(AND(YEAR(AprSun1+3)=CalendarYear,MONTH(AprSun1+3)=4),AprSun1+3,""),IF(AND(YEAR(AprSun1+10)=CalendarYear,MONTH(AprSun1+10)=4),AprSun1+10,""))</f>
        <v>40638</v>
      </c>
      <c r="E7" s="18">
        <f>IF(DAY(AprSun1)=1,IF(AND(YEAR(AprSun1+4)=CalendarYear,MONTH(AprSun1+4)=4),AprSun1+4,""),IF(AND(YEAR(AprSun1+11)=CalendarYear,MONTH(AprSun1+11)=4),AprSun1+11,""))</f>
        <v>40639</v>
      </c>
      <c r="F7" s="18">
        <f>IF(DAY(AprSun1)=1,IF(AND(YEAR(AprSun1+5)=CalendarYear,MONTH(AprSun1+5)=4),AprSun1+5,""),IF(AND(YEAR(AprSun1+12)=CalendarYear,MONTH(AprSun1+12)=4),AprSun1+12,""))</f>
        <v>40640</v>
      </c>
      <c r="G7" s="18">
        <f>IF(DAY(AprSun1)=1,IF(AND(YEAR(AprSun1+6)=CalendarYear,MONTH(AprSun1+6)=4),AprSun1+6,""),IF(AND(YEAR(AprSun1+13)=CalendarYear,MONTH(AprSun1+13)=4),AprSun1+13,""))</f>
        <v>40641</v>
      </c>
      <c r="H7" s="18">
        <f>IF(DAY(AprSun1)=1,IF(AND(YEAR(AprSun1+7)=CalendarYear,MONTH(AprSun1+7)=4),AprSun1+7,""),IF(AND(YEAR(AprSun1+14)=CalendarYear,MONTH(AprSun1+14)=4),AprSun1+14,""))</f>
        <v>40642</v>
      </c>
      <c r="I7" s="3"/>
    </row>
    <row r="8" spans="1:18" ht="55.5" customHeight="1" x14ac:dyDescent="0.25">
      <c r="A8"/>
      <c r="B8" s="19"/>
      <c r="C8" s="19"/>
      <c r="D8" s="19"/>
      <c r="E8" s="19"/>
      <c r="F8" s="19"/>
      <c r="G8" s="20"/>
      <c r="H8" s="20"/>
      <c r="I8" s="3"/>
    </row>
    <row r="9" spans="1:18" ht="15" customHeight="1" x14ac:dyDescent="0.25">
      <c r="A9"/>
      <c r="B9" s="15">
        <f>IF(DAY(AprSun1)=1,IF(AND(YEAR(AprSun1+8)=CalendarYear,MONTH(AprSun1+8)=4),AprSun1+8,""),IF(AND(YEAR(AprSun1+15)=CalendarYear,MONTH(AprSun1+15)=4),AprSun1+15,""))</f>
        <v>40643</v>
      </c>
      <c r="C9" s="15">
        <f>IF(DAY(AprSun1)=1,IF(AND(YEAR(AprSun1+9)=CalendarYear,MONTH(AprSun1+9)=4),AprSun1+9,""),IF(AND(YEAR(AprSun1+16)=CalendarYear,MONTH(AprSun1+16)=4),AprSun1+16,""))</f>
        <v>40644</v>
      </c>
      <c r="D9" s="15">
        <f>IF(DAY(AprSun1)=1,IF(AND(YEAR(AprSun1+10)=CalendarYear,MONTH(AprSun1+10)=4),AprSun1+10,""),IF(AND(YEAR(AprSun1+17)=CalendarYear,MONTH(AprSun1+17)=4),AprSun1+17,""))</f>
        <v>40645</v>
      </c>
      <c r="E9" s="15">
        <f>IF(DAY(AprSun1)=1,IF(AND(YEAR(AprSun1+11)=CalendarYear,MONTH(AprSun1+11)=4),AprSun1+11,""),IF(AND(YEAR(AprSun1+18)=CalendarYear,MONTH(AprSun1+18)=4),AprSun1+18,""))</f>
        <v>40646</v>
      </c>
      <c r="F9" s="15">
        <f>IF(DAY(AprSun1)=1,IF(AND(YEAR(AprSun1+12)=CalendarYear,MONTH(AprSun1+12)=4),AprSun1+12,""),IF(AND(YEAR(AprSun1+19)=CalendarYear,MONTH(AprSun1+19)=4),AprSun1+19,""))</f>
        <v>40647</v>
      </c>
      <c r="G9" s="15">
        <f>IF(DAY(AprSun1)=1,IF(AND(YEAR(AprSun1+13)=CalendarYear,MONTH(AprSun1+13)=4),AprSun1+13,""),IF(AND(YEAR(AprSun1+20)=CalendarYear,MONTH(AprSun1+20)=4),AprSun1+20,""))</f>
        <v>40648</v>
      </c>
      <c r="H9" s="15">
        <f>IF(DAY(AprSun1)=1,IF(AND(YEAR(AprSun1+14)=CalendarYear,MONTH(AprSun1+14)=4),AprSun1+14,""),IF(AND(YEAR(AprSun1+21)=CalendarYear,MONTH(AprSun1+21)=4),AprSun1+21,""))</f>
        <v>40649</v>
      </c>
      <c r="I9" s="3"/>
    </row>
    <row r="10" spans="1:18" ht="55.5" customHeight="1" x14ac:dyDescent="0.25">
      <c r="A10"/>
      <c r="B10" s="16"/>
      <c r="C10" s="16"/>
      <c r="D10" s="16"/>
      <c r="E10" s="16"/>
      <c r="F10" s="16"/>
      <c r="G10" s="17"/>
      <c r="H10" s="17"/>
      <c r="I10" s="3"/>
    </row>
    <row r="11" spans="1:18" ht="15" customHeight="1" x14ac:dyDescent="0.25">
      <c r="A11"/>
      <c r="B11" s="21">
        <f>IF(DAY(AprSun1)=1,IF(AND(YEAR(AprSun1+15)=CalendarYear,MONTH(AprSun1+15)=4),AprSun1+15,""),IF(AND(YEAR(AprSun1+22)=CalendarYear,MONTH(AprSun1+22)=4),AprSun1+22,""))</f>
        <v>40650</v>
      </c>
      <c r="C11" s="21">
        <f>IF(DAY(AprSun1)=1,IF(AND(YEAR(AprSun1+16)=CalendarYear,MONTH(AprSun1+16)=4),AprSun1+16,""),IF(AND(YEAR(AprSun1+23)=CalendarYear,MONTH(AprSun1+23)=4),AprSun1+23,""))</f>
        <v>40651</v>
      </c>
      <c r="D11" s="21">
        <f>IF(DAY(AprSun1)=1,IF(AND(YEAR(AprSun1+17)=CalendarYear,MONTH(AprSun1+17)=4),AprSun1+17,""),IF(AND(YEAR(AprSun1+24)=CalendarYear,MONTH(AprSun1+24)=4),AprSun1+24,""))</f>
        <v>40652</v>
      </c>
      <c r="E11" s="21">
        <f>IF(DAY(AprSun1)=1,IF(AND(YEAR(AprSun1+18)=CalendarYear,MONTH(AprSun1+18)=4),AprSun1+18,""),IF(AND(YEAR(AprSun1+25)=CalendarYear,MONTH(AprSun1+25)=4),AprSun1+25,""))</f>
        <v>40653</v>
      </c>
      <c r="F11" s="21">
        <f>IF(DAY(AprSun1)=1,IF(AND(YEAR(AprSun1+19)=CalendarYear,MONTH(AprSun1+19)=4),AprSun1+19,""),IF(AND(YEAR(AprSun1+26)=CalendarYear,MONTH(AprSun1+26)=4),AprSun1+26,""))</f>
        <v>40654</v>
      </c>
      <c r="G11" s="21">
        <f>IF(DAY(AprSun1)=1,IF(AND(YEAR(AprSun1+20)=CalendarYear,MONTH(AprSun1+20)=4),AprSun1+20,""),IF(AND(YEAR(AprSun1+27)=CalendarYear,MONTH(AprSun1+27)=4),AprSun1+27,""))</f>
        <v>40655</v>
      </c>
      <c r="H11" s="21">
        <f>IF(DAY(AprSun1)=1,IF(AND(YEAR(AprSun1+21)=CalendarYear,MONTH(AprSun1+21)=4),AprSun1+21,""),IF(AND(YEAR(AprSun1+28)=CalendarYear,MONTH(AprSun1+28)=4),AprSun1+28,""))</f>
        <v>40656</v>
      </c>
      <c r="I11" s="3"/>
    </row>
    <row r="12" spans="1:18" ht="55.5" customHeight="1" x14ac:dyDescent="0.25">
      <c r="A12"/>
      <c r="B12" s="19"/>
      <c r="C12" s="19"/>
      <c r="D12" s="19"/>
      <c r="E12" s="19"/>
      <c r="F12" s="19"/>
      <c r="G12" s="20"/>
      <c r="H12" s="20"/>
      <c r="I12" s="3"/>
    </row>
    <row r="13" spans="1:18" ht="15" customHeight="1" x14ac:dyDescent="0.25">
      <c r="A13"/>
      <c r="B13" s="15">
        <f>IF(DAY(AprSun1)=1,IF(AND(YEAR(AprSun1+22)=CalendarYear,MONTH(AprSun1+22)=4),AprSun1+22,""),IF(AND(YEAR(AprSun1+29)=CalendarYear,MONTH(AprSun1+29)=4),AprSun1+29,""))</f>
        <v>40657</v>
      </c>
      <c r="C13" s="15">
        <f>IF(DAY(AprSun1)=1,IF(AND(YEAR(AprSun1+23)=CalendarYear,MONTH(AprSun1+23)=4),AprSun1+23,""),IF(AND(YEAR(AprSun1+30)=CalendarYear,MONTH(AprSun1+30)=4),AprSun1+30,""))</f>
        <v>40658</v>
      </c>
      <c r="D13" s="15">
        <f>IF(DAY(AprSun1)=1,IF(AND(YEAR(AprSun1+24)=CalendarYear,MONTH(AprSun1+24)=4),AprSun1+24,""),IF(AND(YEAR(AprSun1+31)=CalendarYear,MONTH(AprSun1+31)=4),AprSun1+31,""))</f>
        <v>40659</v>
      </c>
      <c r="E13" s="15">
        <f>IF(DAY(AprSun1)=1,IF(AND(YEAR(AprSun1+25)=CalendarYear,MONTH(AprSun1+25)=4),AprSun1+25,""),IF(AND(YEAR(AprSun1+32)=CalendarYear,MONTH(AprSun1+32)=4),AprSun1+32,""))</f>
        <v>40660</v>
      </c>
      <c r="F13" s="15">
        <f>IF(DAY(AprSun1)=1,IF(AND(YEAR(AprSun1+26)=CalendarYear,MONTH(AprSun1+26)=4),AprSun1+26,""),IF(AND(YEAR(AprSun1+33)=CalendarYear,MONTH(AprSun1+33)=4),AprSun1+33,""))</f>
        <v>40661</v>
      </c>
      <c r="G13" s="15">
        <f>IF(DAY(AprSun1)=1,IF(AND(YEAR(AprSun1+27)=CalendarYear,MONTH(AprSun1+27)=4),AprSun1+27,""),IF(AND(YEAR(AprSun1+34)=CalendarYear,MONTH(AprSun1+34)=4),AprSun1+34,""))</f>
        <v>40662</v>
      </c>
      <c r="H13" s="15">
        <f>IF(DAY(AprSun1)=1,IF(AND(YEAR(AprSun1+28)=CalendarYear,MONTH(AprSun1+28)=4),AprSun1+28,""),IF(AND(YEAR(AprSun1+35)=CalendarYear,MONTH(AprSun1+35)=4),AprSun1+35,""))</f>
        <v>40663</v>
      </c>
      <c r="I13" s="3"/>
    </row>
    <row r="14" spans="1:18" ht="55.5" customHeight="1" x14ac:dyDescent="0.25">
      <c r="A14"/>
      <c r="B14" s="16"/>
      <c r="C14" s="16"/>
      <c r="D14" s="16"/>
      <c r="E14" s="16"/>
      <c r="F14" s="16"/>
      <c r="G14" s="17"/>
      <c r="H14" s="17"/>
      <c r="I14" s="3"/>
    </row>
    <row r="15" spans="1:18" ht="15" customHeight="1" x14ac:dyDescent="0.25">
      <c r="A15"/>
      <c r="B15" s="9" t="str">
        <f>IF(DAY(AprSun1)=1,IF(AND(YEAR(AprSun1+29)=CalendarYear,MONTH(AprSun1+29)=4),AprSun1+29,""),IF(AND(YEAR(AprSun1+36)=CalendarYear,MONTH(AprSun1+36)=4),AprSun1+36,""))</f>
        <v/>
      </c>
      <c r="C15" s="10" t="str">
        <f>IF(DAY(AprSun1)=1,IF(AND(YEAR(AprSun1+30)=CalendarYear,MONTH(AprSun1+30)=4),AprSun1+30,""),IF(AND(YEAR(AprSun1+37)=CalendarYear,MONTH(AprSun1+37)=4),AprSun1+37,""))</f>
        <v/>
      </c>
      <c r="D15" s="85" t="s">
        <v>8</v>
      </c>
      <c r="E15" s="86"/>
      <c r="F15" s="86"/>
      <c r="G15" s="86"/>
      <c r="H15" s="87"/>
      <c r="I15" s="3"/>
    </row>
    <row r="16" spans="1:18" ht="55.5" customHeight="1" x14ac:dyDescent="0.25">
      <c r="A16"/>
      <c r="B16" s="8"/>
      <c r="C16" s="8"/>
      <c r="D16" s="92"/>
      <c r="E16" s="93"/>
      <c r="F16" s="93"/>
      <c r="G16" s="93"/>
      <c r="H16" s="9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96" t="str">
        <f>UPPER(TEXT(DATE(CalendarYear,5,1),"mmmm yyyy"))</f>
        <v>مايو 2011</v>
      </c>
      <c r="C3" s="96"/>
      <c r="D3" s="96"/>
      <c r="E3" s="96"/>
      <c r="F3" s="96"/>
    </row>
    <row r="4" spans="1:18" customFormat="1" ht="29.25" customHeight="1" x14ac:dyDescent="0.25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3">
        <f>IF(DAY(MaySun1)=1,"",IF(AND(YEAR(MaySun1+1)=CalendarYear,MONTH(MaySun1+1)=5),MaySun1+1,""))</f>
        <v>40664</v>
      </c>
      <c r="C5" s="23">
        <f>IF(DAY(MaySun1)=1,"",IF(AND(YEAR(MaySun1+2)=CalendarYear,MONTH(MaySun1+2)=5),MaySun1+2,""))</f>
        <v>40665</v>
      </c>
      <c r="D5" s="23">
        <f>IF(DAY(MaySun1)=1,"",IF(AND(YEAR(MaySun1+3)=CalendarYear,MONTH(MaySun1+3)=5),MaySun1+3,""))</f>
        <v>40666</v>
      </c>
      <c r="E5" s="23">
        <f>IF(DAY(MaySun1)=1,"",IF(AND(YEAR(MaySun1+4)=CalendarYear,MONTH(MaySun1+4)=5),MaySun1+4,""))</f>
        <v>40667</v>
      </c>
      <c r="F5" s="23">
        <f>IF(DAY(MaySun1)=1,"",IF(AND(YEAR(MaySun1+5)=CalendarYear,MONTH(MaySun1+5)=5),MaySun1+5,""))</f>
        <v>40668</v>
      </c>
      <c r="G5" s="23">
        <f>IF(DAY(MaySun1)=1,"",IF(AND(YEAR(MaySun1+6)=CalendarYear,MONTH(MaySun1+6)=5),MaySun1+6,""))</f>
        <v>40669</v>
      </c>
      <c r="H5" s="23">
        <f>IF(DAY(MaySun1)=1,IF(AND(YEAR(MaySun1)=CalendarYear,MONTH(MaySun1)=5),MaySun1,""),IF(AND(YEAR(MaySun1+7)=CalendarYear,MONTH(MaySun1+7)=5),MaySun1+7,""))</f>
        <v>40670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6"/>
      <c r="C6" s="16"/>
      <c r="D6" s="16"/>
      <c r="E6" s="16"/>
      <c r="F6" s="16"/>
      <c r="G6" s="17"/>
      <c r="H6" s="17"/>
      <c r="I6" s="3"/>
    </row>
    <row r="7" spans="1:18" ht="15" customHeight="1" x14ac:dyDescent="0.25">
      <c r="A7"/>
      <c r="B7" s="18">
        <f>IF(DAY(MaySun1)=1,IF(AND(YEAR(MaySun1+1)=CalendarYear,MONTH(MaySun1+1)=5),MaySun1+1,""),IF(AND(YEAR(MaySun1+8)=CalendarYear,MONTH(MaySun1+8)=5),MaySun1+8,""))</f>
        <v>40671</v>
      </c>
      <c r="C7" s="18">
        <f>IF(DAY(MaySun1)=1,IF(AND(YEAR(MaySun1+2)=CalendarYear,MONTH(MaySun1+2)=5),MaySun1+2,""),IF(AND(YEAR(MaySun1+9)=CalendarYear,MONTH(MaySun1+9)=5),MaySun1+9,""))</f>
        <v>40672</v>
      </c>
      <c r="D7" s="18">
        <f>IF(DAY(MaySun1)=1,IF(AND(YEAR(MaySun1+3)=CalendarYear,MONTH(MaySun1+3)=5),MaySun1+3,""),IF(AND(YEAR(MaySun1+10)=CalendarYear,MONTH(MaySun1+10)=5),MaySun1+10,""))</f>
        <v>40673</v>
      </c>
      <c r="E7" s="18">
        <f>IF(DAY(MaySun1)=1,IF(AND(YEAR(MaySun1+4)=CalendarYear,MONTH(MaySun1+4)=5),MaySun1+4,""),IF(AND(YEAR(MaySun1+11)=CalendarYear,MONTH(MaySun1+11)=5),MaySun1+11,""))</f>
        <v>40674</v>
      </c>
      <c r="F7" s="18">
        <f>IF(DAY(MaySun1)=1,IF(AND(YEAR(MaySun1+5)=CalendarYear,MONTH(MaySun1+5)=5),MaySun1+5,""),IF(AND(YEAR(MaySun1+12)=CalendarYear,MONTH(MaySun1+12)=5),MaySun1+12,""))</f>
        <v>40675</v>
      </c>
      <c r="G7" s="18">
        <f>IF(DAY(MaySun1)=1,IF(AND(YEAR(MaySun1+6)=CalendarYear,MONTH(MaySun1+6)=5),MaySun1+6,""),IF(AND(YEAR(MaySun1+13)=CalendarYear,MONTH(MaySun1+13)=5),MaySun1+13,""))</f>
        <v>40676</v>
      </c>
      <c r="H7" s="18">
        <f>IF(DAY(MaySun1)=1,IF(AND(YEAR(MaySun1+7)=CalendarYear,MONTH(MaySun1+7)=5),MaySun1+7,""),IF(AND(YEAR(MaySun1+14)=CalendarYear,MONTH(MaySun1+14)=5),MaySun1+14,""))</f>
        <v>40677</v>
      </c>
      <c r="I7" s="3"/>
    </row>
    <row r="8" spans="1:18" ht="55.5" customHeight="1" x14ac:dyDescent="0.25">
      <c r="A8"/>
      <c r="B8" s="19"/>
      <c r="C8" s="19"/>
      <c r="D8" s="19"/>
      <c r="E8" s="19"/>
      <c r="F8" s="19"/>
      <c r="G8" s="20"/>
      <c r="H8" s="20"/>
      <c r="I8" s="3"/>
    </row>
    <row r="9" spans="1:18" ht="15" customHeight="1" x14ac:dyDescent="0.25">
      <c r="A9"/>
      <c r="B9" s="15">
        <f>IF(DAY(MaySun1)=1,IF(AND(YEAR(MaySun1+8)=CalendarYear,MONTH(MaySun1+8)=5),MaySun1+8,""),IF(AND(YEAR(MaySun1+15)=CalendarYear,MONTH(MaySun1+15)=5),MaySun1+15,""))</f>
        <v>40678</v>
      </c>
      <c r="C9" s="15">
        <f>IF(DAY(MaySun1)=1,IF(AND(YEAR(MaySun1+9)=CalendarYear,MONTH(MaySun1+9)=5),MaySun1+9,""),IF(AND(YEAR(MaySun1+16)=CalendarYear,MONTH(MaySun1+16)=5),MaySun1+16,""))</f>
        <v>40679</v>
      </c>
      <c r="D9" s="15">
        <f>IF(DAY(MaySun1)=1,IF(AND(YEAR(MaySun1+10)=CalendarYear,MONTH(MaySun1+10)=5),MaySun1+10,""),IF(AND(YEAR(MaySun1+17)=CalendarYear,MONTH(MaySun1+17)=5),MaySun1+17,""))</f>
        <v>40680</v>
      </c>
      <c r="E9" s="15">
        <f>IF(DAY(MaySun1)=1,IF(AND(YEAR(MaySun1+11)=CalendarYear,MONTH(MaySun1+11)=5),MaySun1+11,""),IF(AND(YEAR(MaySun1+18)=CalendarYear,MONTH(MaySun1+18)=5),MaySun1+18,""))</f>
        <v>40681</v>
      </c>
      <c r="F9" s="15">
        <f>IF(DAY(MaySun1)=1,IF(AND(YEAR(MaySun1+12)=CalendarYear,MONTH(MaySun1+12)=5),MaySun1+12,""),IF(AND(YEAR(MaySun1+19)=CalendarYear,MONTH(MaySun1+19)=5),MaySun1+19,""))</f>
        <v>40682</v>
      </c>
      <c r="G9" s="15">
        <f>IF(DAY(MaySun1)=1,IF(AND(YEAR(MaySun1+13)=CalendarYear,MONTH(MaySun1+13)=5),MaySun1+13,""),IF(AND(YEAR(MaySun1+20)=CalendarYear,MONTH(MaySun1+20)=5),MaySun1+20,""))</f>
        <v>40683</v>
      </c>
      <c r="H9" s="15">
        <f>IF(DAY(MaySun1)=1,IF(AND(YEAR(MaySun1+14)=CalendarYear,MONTH(MaySun1+14)=5),MaySun1+14,""),IF(AND(YEAR(MaySun1+21)=CalendarYear,MONTH(MaySun1+21)=5),MaySun1+21,""))</f>
        <v>40684</v>
      </c>
      <c r="I9" s="3"/>
    </row>
    <row r="10" spans="1:18" ht="55.5" customHeight="1" x14ac:dyDescent="0.25">
      <c r="A10"/>
      <c r="B10" s="16"/>
      <c r="C10" s="16"/>
      <c r="D10" s="16"/>
      <c r="E10" s="16"/>
      <c r="F10" s="16"/>
      <c r="G10" s="17"/>
      <c r="H10" s="17"/>
      <c r="I10" s="3"/>
    </row>
    <row r="11" spans="1:18" ht="15" customHeight="1" x14ac:dyDescent="0.25">
      <c r="A11"/>
      <c r="B11" s="21">
        <f>IF(DAY(MaySun1)=1,IF(AND(YEAR(MaySun1+15)=CalendarYear,MONTH(MaySun1+15)=5),MaySun1+15,""),IF(AND(YEAR(MaySun1+22)=CalendarYear,MONTH(MaySun1+22)=5),MaySun1+22,""))</f>
        <v>40685</v>
      </c>
      <c r="C11" s="21">
        <f>IF(DAY(MaySun1)=1,IF(AND(YEAR(MaySun1+16)=CalendarYear,MONTH(MaySun1+16)=5),MaySun1+16,""),IF(AND(YEAR(MaySun1+23)=CalendarYear,MONTH(MaySun1+23)=5),MaySun1+23,""))</f>
        <v>40686</v>
      </c>
      <c r="D11" s="21">
        <f>IF(DAY(MaySun1)=1,IF(AND(YEAR(MaySun1+17)=CalendarYear,MONTH(MaySun1+17)=5),MaySun1+17,""),IF(AND(YEAR(MaySun1+24)=CalendarYear,MONTH(MaySun1+24)=5),MaySun1+24,""))</f>
        <v>40687</v>
      </c>
      <c r="E11" s="21">
        <f>IF(DAY(MaySun1)=1,IF(AND(YEAR(MaySun1+18)=CalendarYear,MONTH(MaySun1+18)=5),MaySun1+18,""),IF(AND(YEAR(MaySun1+25)=CalendarYear,MONTH(MaySun1+25)=5),MaySun1+25,""))</f>
        <v>40688</v>
      </c>
      <c r="F11" s="21">
        <f>IF(DAY(MaySun1)=1,IF(AND(YEAR(MaySun1+19)=CalendarYear,MONTH(MaySun1+19)=5),MaySun1+19,""),IF(AND(YEAR(MaySun1+26)=CalendarYear,MONTH(MaySun1+26)=5),MaySun1+26,""))</f>
        <v>40689</v>
      </c>
      <c r="G11" s="21">
        <f>IF(DAY(MaySun1)=1,IF(AND(YEAR(MaySun1+20)=CalendarYear,MONTH(MaySun1+20)=5),MaySun1+20,""),IF(AND(YEAR(MaySun1+27)=CalendarYear,MONTH(MaySun1+27)=5),MaySun1+27,""))</f>
        <v>40690</v>
      </c>
      <c r="H11" s="21">
        <f>IF(DAY(MaySun1)=1,IF(AND(YEAR(MaySun1+21)=CalendarYear,MONTH(MaySun1+21)=5),MaySun1+21,""),IF(AND(YEAR(MaySun1+28)=CalendarYear,MONTH(MaySun1+28)=5),MaySun1+28,""))</f>
        <v>40691</v>
      </c>
      <c r="I11" s="3"/>
    </row>
    <row r="12" spans="1:18" ht="55.5" customHeight="1" x14ac:dyDescent="0.25">
      <c r="A12"/>
      <c r="B12" s="19"/>
      <c r="C12" s="19"/>
      <c r="D12" s="19"/>
      <c r="E12" s="19"/>
      <c r="F12" s="19"/>
      <c r="G12" s="20"/>
      <c r="H12" s="20"/>
      <c r="I12" s="3"/>
    </row>
    <row r="13" spans="1:18" ht="15" customHeight="1" x14ac:dyDescent="0.25">
      <c r="A13"/>
      <c r="B13" s="15">
        <f>IF(DAY(MaySun1)=1,IF(AND(YEAR(MaySun1+22)=CalendarYear,MONTH(MaySun1+22)=5),MaySun1+22,""),IF(AND(YEAR(MaySun1+29)=CalendarYear,MONTH(MaySun1+29)=5),MaySun1+29,""))</f>
        <v>40692</v>
      </c>
      <c r="C13" s="15">
        <f>IF(DAY(MaySun1)=1,IF(AND(YEAR(MaySun1+23)=CalendarYear,MONTH(MaySun1+23)=5),MaySun1+23,""),IF(AND(YEAR(MaySun1+30)=CalendarYear,MONTH(MaySun1+30)=5),MaySun1+30,""))</f>
        <v>40693</v>
      </c>
      <c r="D13" s="15">
        <f>IF(DAY(MaySun1)=1,IF(AND(YEAR(MaySun1+24)=CalendarYear,MONTH(MaySun1+24)=5),MaySun1+24,""),IF(AND(YEAR(MaySun1+31)=CalendarYear,MONTH(MaySun1+31)=5),MaySun1+31,""))</f>
        <v>40694</v>
      </c>
      <c r="E13" s="15" t="str">
        <f>IF(DAY(MaySun1)=1,IF(AND(YEAR(MaySun1+25)=CalendarYear,MONTH(MaySun1+25)=5),MaySun1+25,""),IF(AND(YEAR(MaySun1+32)=CalendarYear,MONTH(MaySun1+32)=5),MaySun1+32,""))</f>
        <v/>
      </c>
      <c r="F13" s="15" t="str">
        <f>IF(DAY(MaySun1)=1,IF(AND(YEAR(MaySun1+26)=CalendarYear,MONTH(MaySun1+26)=5),MaySun1+26,""),IF(AND(YEAR(MaySun1+33)=CalendarYear,MONTH(MaySun1+33)=5),MaySun1+33,""))</f>
        <v/>
      </c>
      <c r="G13" s="15" t="str">
        <f>IF(DAY(MaySun1)=1,IF(AND(YEAR(MaySun1+27)=CalendarYear,MONTH(MaySun1+27)=5),MaySun1+27,""),IF(AND(YEAR(MaySun1+34)=CalendarYear,MONTH(MaySun1+34)=5),MaySun1+34,""))</f>
        <v/>
      </c>
      <c r="H13" s="15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16"/>
      <c r="C14" s="16"/>
      <c r="D14" s="16"/>
      <c r="E14" s="16"/>
      <c r="F14" s="16"/>
      <c r="G14" s="17"/>
      <c r="H14" s="17"/>
      <c r="I14" s="3"/>
    </row>
    <row r="15" spans="1:18" ht="15" customHeight="1" x14ac:dyDescent="0.25">
      <c r="A15"/>
      <c r="B15" s="9" t="str">
        <f>IF(DAY(MaySun1)=1,IF(AND(YEAR(MaySun1+29)=CalendarYear,MONTH(MaySun1+29)=5),MaySun1+29,""),IF(AND(YEAR(MaySun1+36)=CalendarYear,MONTH(MaySun1+36)=5),MaySun1+36,""))</f>
        <v/>
      </c>
      <c r="C15" s="10" t="str">
        <f>IF(DAY(MaySun1)=1,IF(AND(YEAR(MaySun1+30)=CalendarYear,MONTH(MaySun1+30)=5),MaySun1+30,""),IF(AND(YEAR(MaySun1+37)=CalendarYear,MONTH(MaySun1+37)=5),MaySun1+37,""))</f>
        <v/>
      </c>
      <c r="D15" s="85" t="s">
        <v>8</v>
      </c>
      <c r="E15" s="86"/>
      <c r="F15" s="86"/>
      <c r="G15" s="86"/>
      <c r="H15" s="87"/>
      <c r="I15" s="3"/>
    </row>
    <row r="16" spans="1:18" ht="55.5" customHeight="1" x14ac:dyDescent="0.25">
      <c r="A16"/>
      <c r="B16" s="8"/>
      <c r="C16" s="8"/>
      <c r="D16" s="92"/>
      <c r="E16" s="93"/>
      <c r="F16" s="93"/>
      <c r="G16" s="93"/>
      <c r="H16" s="9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97" t="str">
        <f>UPPER(TEXT(DATE(CalendarYear,6,1),"mmmm yyyy"))</f>
        <v>يونيو 2011</v>
      </c>
      <c r="C3" s="97"/>
      <c r="D3" s="97"/>
      <c r="E3" s="97"/>
      <c r="F3" s="97"/>
    </row>
    <row r="4" spans="1:18" customFormat="1" ht="29.25" customHeight="1" x14ac:dyDescent="0.25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3" t="str">
        <f>IF(DAY(JunSun1)=1,"",IF(AND(YEAR(JunSun1+1)=CalendarYear,MONTH(JunSun1+1)=6),JunSun1+1,""))</f>
        <v/>
      </c>
      <c r="C5" s="23" t="str">
        <f>IF(DAY(JunSun1)=1,"",IF(AND(YEAR(JunSun1+2)=CalendarYear,MONTH(JunSun1+2)=6),JunSun1+2,""))</f>
        <v/>
      </c>
      <c r="D5" s="23" t="str">
        <f>IF(DAY(JunSun1)=1,"",IF(AND(YEAR(JunSun1+3)=CalendarYear,MONTH(JunSun1+3)=6),JunSun1+3,""))</f>
        <v/>
      </c>
      <c r="E5" s="23">
        <f>IF(DAY(JunSun1)=1,"",IF(AND(YEAR(JunSun1+4)=CalendarYear,MONTH(JunSun1+4)=6),JunSun1+4,""))</f>
        <v>40695</v>
      </c>
      <c r="F5" s="23">
        <f>IF(DAY(JunSun1)=1,"",IF(AND(YEAR(JunSun1+5)=CalendarYear,MONTH(JunSun1+5)=6),JunSun1+5,""))</f>
        <v>40696</v>
      </c>
      <c r="G5" s="23">
        <f>IF(DAY(JunSun1)=1,"",IF(AND(YEAR(JunSun1+6)=CalendarYear,MONTH(JunSun1+6)=6),JunSun1+6,""))</f>
        <v>40697</v>
      </c>
      <c r="H5" s="23">
        <f>IF(DAY(JunSun1)=1,IF(AND(YEAR(JunSun1)=CalendarYear,MONTH(JunSun1)=6),JunSun1,""),IF(AND(YEAR(JunSun1+7)=CalendarYear,MONTH(JunSun1+7)=6),JunSun1+7,""))</f>
        <v>40698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6"/>
      <c r="C6" s="16"/>
      <c r="D6" s="16"/>
      <c r="E6" s="16"/>
      <c r="F6" s="16"/>
      <c r="G6" s="17"/>
      <c r="H6" s="17"/>
      <c r="I6" s="3"/>
    </row>
    <row r="7" spans="1:18" ht="15" customHeight="1" x14ac:dyDescent="0.25">
      <c r="A7"/>
      <c r="B7" s="18">
        <f>IF(DAY(JunSun1)=1,IF(AND(YEAR(JunSun1+1)=CalendarYear,MONTH(JunSun1+1)=6),JunSun1+1,""),IF(AND(YEAR(JunSun1+8)=CalendarYear,MONTH(JunSun1+8)=6),JunSun1+8,""))</f>
        <v>40699</v>
      </c>
      <c r="C7" s="18">
        <f>IF(DAY(JunSun1)=1,IF(AND(YEAR(JunSun1+2)=CalendarYear,MONTH(JunSun1+2)=6),JunSun1+2,""),IF(AND(YEAR(JunSun1+9)=CalendarYear,MONTH(JunSun1+9)=6),JunSun1+9,""))</f>
        <v>40700</v>
      </c>
      <c r="D7" s="18">
        <f>IF(DAY(JunSun1)=1,IF(AND(YEAR(JunSun1+3)=CalendarYear,MONTH(JunSun1+3)=6),JunSun1+3,""),IF(AND(YEAR(JunSun1+10)=CalendarYear,MONTH(JunSun1+10)=6),JunSun1+10,""))</f>
        <v>40701</v>
      </c>
      <c r="E7" s="18">
        <f>IF(DAY(JunSun1)=1,IF(AND(YEAR(JunSun1+4)=CalendarYear,MONTH(JunSun1+4)=6),JunSun1+4,""),IF(AND(YEAR(JunSun1+11)=CalendarYear,MONTH(JunSun1+11)=6),JunSun1+11,""))</f>
        <v>40702</v>
      </c>
      <c r="F7" s="18">
        <f>IF(DAY(JunSun1)=1,IF(AND(YEAR(JunSun1+5)=CalendarYear,MONTH(JunSun1+5)=6),JunSun1+5,""),IF(AND(YEAR(JunSun1+12)=CalendarYear,MONTH(JunSun1+12)=6),JunSun1+12,""))</f>
        <v>40703</v>
      </c>
      <c r="G7" s="18">
        <f>IF(DAY(JunSun1)=1,IF(AND(YEAR(JunSun1+6)=CalendarYear,MONTH(JunSun1+6)=6),JunSun1+6,""),IF(AND(YEAR(JunSun1+13)=CalendarYear,MONTH(JunSun1+13)=6),JunSun1+13,""))</f>
        <v>40704</v>
      </c>
      <c r="H7" s="18">
        <f>IF(DAY(JunSun1)=1,IF(AND(YEAR(JunSun1+7)=CalendarYear,MONTH(JunSun1+7)=6),JunSun1+7,""),IF(AND(YEAR(JunSun1+14)=CalendarYear,MONTH(JunSun1+14)=6),JunSun1+14,""))</f>
        <v>40705</v>
      </c>
      <c r="I7" s="3"/>
    </row>
    <row r="8" spans="1:18" ht="55.5" customHeight="1" x14ac:dyDescent="0.25">
      <c r="A8"/>
      <c r="B8" s="19"/>
      <c r="C8" s="19"/>
      <c r="D8" s="19"/>
      <c r="E8" s="19"/>
      <c r="F8" s="19"/>
      <c r="G8" s="20"/>
      <c r="H8" s="20"/>
      <c r="I8" s="3"/>
    </row>
    <row r="9" spans="1:18" ht="15" customHeight="1" x14ac:dyDescent="0.25">
      <c r="A9"/>
      <c r="B9" s="15">
        <f>IF(DAY(JunSun1)=1,IF(AND(YEAR(JunSun1+8)=CalendarYear,MONTH(JunSun1+8)=6),JunSun1+8,""),IF(AND(YEAR(JunSun1+15)=CalendarYear,MONTH(JunSun1+15)=6),JunSun1+15,""))</f>
        <v>40706</v>
      </c>
      <c r="C9" s="15">
        <f>IF(DAY(JunSun1)=1,IF(AND(YEAR(JunSun1+9)=CalendarYear,MONTH(JunSun1+9)=6),JunSun1+9,""),IF(AND(YEAR(JunSun1+16)=CalendarYear,MONTH(JunSun1+16)=6),JunSun1+16,""))</f>
        <v>40707</v>
      </c>
      <c r="D9" s="15">
        <f>IF(DAY(JunSun1)=1,IF(AND(YEAR(JunSun1+10)=CalendarYear,MONTH(JunSun1+10)=6),JunSun1+10,""),IF(AND(YEAR(JunSun1+17)=CalendarYear,MONTH(JunSun1+17)=6),JunSun1+17,""))</f>
        <v>40708</v>
      </c>
      <c r="E9" s="15">
        <f>IF(DAY(JunSun1)=1,IF(AND(YEAR(JunSun1+11)=CalendarYear,MONTH(JunSun1+11)=6),JunSun1+11,""),IF(AND(YEAR(JunSun1+18)=CalendarYear,MONTH(JunSun1+18)=6),JunSun1+18,""))</f>
        <v>40709</v>
      </c>
      <c r="F9" s="15">
        <f>IF(DAY(JunSun1)=1,IF(AND(YEAR(JunSun1+12)=CalendarYear,MONTH(JunSun1+12)=6),JunSun1+12,""),IF(AND(YEAR(JunSun1+19)=CalendarYear,MONTH(JunSun1+19)=6),JunSun1+19,""))</f>
        <v>40710</v>
      </c>
      <c r="G9" s="15">
        <f>IF(DAY(JunSun1)=1,IF(AND(YEAR(JunSun1+13)=CalendarYear,MONTH(JunSun1+13)=6),JunSun1+13,""),IF(AND(YEAR(JunSun1+20)=CalendarYear,MONTH(JunSun1+20)=6),JunSun1+20,""))</f>
        <v>40711</v>
      </c>
      <c r="H9" s="15">
        <f>IF(DAY(JunSun1)=1,IF(AND(YEAR(JunSun1+14)=CalendarYear,MONTH(JunSun1+14)=6),JunSun1+14,""),IF(AND(YEAR(JunSun1+21)=CalendarYear,MONTH(JunSun1+21)=6),JunSun1+21,""))</f>
        <v>40712</v>
      </c>
      <c r="I9" s="3"/>
    </row>
    <row r="10" spans="1:18" ht="55.5" customHeight="1" x14ac:dyDescent="0.25">
      <c r="A10"/>
      <c r="B10" s="16"/>
      <c r="C10" s="16"/>
      <c r="D10" s="16"/>
      <c r="E10" s="16"/>
      <c r="F10" s="16"/>
      <c r="G10" s="17"/>
      <c r="H10" s="17"/>
      <c r="I10" s="3"/>
    </row>
    <row r="11" spans="1:18" ht="15" customHeight="1" x14ac:dyDescent="0.25">
      <c r="A11"/>
      <c r="B11" s="21">
        <f>IF(DAY(JunSun1)=1,IF(AND(YEAR(JunSun1+15)=CalendarYear,MONTH(JunSun1+15)=6),JunSun1+15,""),IF(AND(YEAR(JunSun1+22)=CalendarYear,MONTH(JunSun1+22)=6),JunSun1+22,""))</f>
        <v>40713</v>
      </c>
      <c r="C11" s="21">
        <f>IF(DAY(JunSun1)=1,IF(AND(YEAR(JunSun1+16)=CalendarYear,MONTH(JunSun1+16)=6),JunSun1+16,""),IF(AND(YEAR(JunSun1+23)=CalendarYear,MONTH(JunSun1+23)=6),JunSun1+23,""))</f>
        <v>40714</v>
      </c>
      <c r="D11" s="21">
        <f>IF(DAY(JunSun1)=1,IF(AND(YEAR(JunSun1+17)=CalendarYear,MONTH(JunSun1+17)=6),JunSun1+17,""),IF(AND(YEAR(JunSun1+24)=CalendarYear,MONTH(JunSun1+24)=6),JunSun1+24,""))</f>
        <v>40715</v>
      </c>
      <c r="E11" s="21">
        <f>IF(DAY(JunSun1)=1,IF(AND(YEAR(JunSun1+18)=CalendarYear,MONTH(JunSun1+18)=6),JunSun1+18,""),IF(AND(YEAR(JunSun1+25)=CalendarYear,MONTH(JunSun1+25)=6),JunSun1+25,""))</f>
        <v>40716</v>
      </c>
      <c r="F11" s="21">
        <f>IF(DAY(JunSun1)=1,IF(AND(YEAR(JunSun1+19)=CalendarYear,MONTH(JunSun1+19)=6),JunSun1+19,""),IF(AND(YEAR(JunSun1+26)=CalendarYear,MONTH(JunSun1+26)=6),JunSun1+26,""))</f>
        <v>40717</v>
      </c>
      <c r="G11" s="21">
        <f>IF(DAY(JunSun1)=1,IF(AND(YEAR(JunSun1+20)=CalendarYear,MONTH(JunSun1+20)=6),JunSun1+20,""),IF(AND(YEAR(JunSun1+27)=CalendarYear,MONTH(JunSun1+27)=6),JunSun1+27,""))</f>
        <v>40718</v>
      </c>
      <c r="H11" s="21">
        <f>IF(DAY(JunSun1)=1,IF(AND(YEAR(JunSun1+21)=CalendarYear,MONTH(JunSun1+21)=6),JunSun1+21,""),IF(AND(YEAR(JunSun1+28)=CalendarYear,MONTH(JunSun1+28)=6),JunSun1+28,""))</f>
        <v>40719</v>
      </c>
      <c r="I11" s="3"/>
    </row>
    <row r="12" spans="1:18" ht="55.5" customHeight="1" x14ac:dyDescent="0.25">
      <c r="A12"/>
      <c r="B12" s="19"/>
      <c r="C12" s="19"/>
      <c r="D12" s="19"/>
      <c r="E12" s="19"/>
      <c r="F12" s="19"/>
      <c r="G12" s="20"/>
      <c r="H12" s="20"/>
      <c r="I12" s="3"/>
    </row>
    <row r="13" spans="1:18" ht="15" customHeight="1" x14ac:dyDescent="0.25">
      <c r="A13"/>
      <c r="B13" s="15">
        <f>IF(DAY(JunSun1)=1,IF(AND(YEAR(JunSun1+22)=CalendarYear,MONTH(JunSun1+22)=6),JunSun1+22,""),IF(AND(YEAR(JunSun1+29)=CalendarYear,MONTH(JunSun1+29)=6),JunSun1+29,""))</f>
        <v>40720</v>
      </c>
      <c r="C13" s="15">
        <f>IF(DAY(JunSun1)=1,IF(AND(YEAR(JunSun1+23)=CalendarYear,MONTH(JunSun1+23)=6),JunSun1+23,""),IF(AND(YEAR(JunSun1+30)=CalendarYear,MONTH(JunSun1+30)=6),JunSun1+30,""))</f>
        <v>40721</v>
      </c>
      <c r="D13" s="15">
        <f>IF(DAY(JunSun1)=1,IF(AND(YEAR(JunSun1+24)=CalendarYear,MONTH(JunSun1+24)=6),JunSun1+24,""),IF(AND(YEAR(JunSun1+31)=CalendarYear,MONTH(JunSun1+31)=6),JunSun1+31,""))</f>
        <v>40722</v>
      </c>
      <c r="E13" s="15">
        <f>IF(DAY(JunSun1)=1,IF(AND(YEAR(JunSun1+25)=CalendarYear,MONTH(JunSun1+25)=6),JunSun1+25,""),IF(AND(YEAR(JunSun1+32)=CalendarYear,MONTH(JunSun1+32)=6),JunSun1+32,""))</f>
        <v>40723</v>
      </c>
      <c r="F13" s="15">
        <f>IF(DAY(JunSun1)=1,IF(AND(YEAR(JunSun1+26)=CalendarYear,MONTH(JunSun1+26)=6),JunSun1+26,""),IF(AND(YEAR(JunSun1+33)=CalendarYear,MONTH(JunSun1+33)=6),JunSun1+33,""))</f>
        <v>40724</v>
      </c>
      <c r="G13" s="15" t="str">
        <f>IF(DAY(JunSun1)=1,IF(AND(YEAR(JunSun1+27)=CalendarYear,MONTH(JunSun1+27)=6),JunSun1+27,""),IF(AND(YEAR(JunSun1+34)=CalendarYear,MONTH(JunSun1+34)=6),JunSun1+34,""))</f>
        <v/>
      </c>
      <c r="H13" s="15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16"/>
      <c r="C14" s="16"/>
      <c r="D14" s="16"/>
      <c r="E14" s="16"/>
      <c r="F14" s="16"/>
      <c r="G14" s="17"/>
      <c r="H14" s="17"/>
      <c r="I14" s="3"/>
    </row>
    <row r="15" spans="1:18" ht="15" customHeight="1" x14ac:dyDescent="0.25">
      <c r="A15"/>
      <c r="B15" s="9" t="str">
        <f>IF(DAY(JunSun1)=1,IF(AND(YEAR(JunSun1+29)=CalendarYear,MONTH(JunSun1+29)=6),JunSun1+29,""),IF(AND(YEAR(JunSun1+36)=CalendarYear,MONTH(JunSun1+36)=6),JunSun1+36,""))</f>
        <v/>
      </c>
      <c r="C15" s="10" t="str">
        <f>IF(DAY(JunSun1)=1,IF(AND(YEAR(JunSun1+30)=CalendarYear,MONTH(JunSun1+30)=6),JunSun1+30,""),IF(AND(YEAR(JunSun1+37)=CalendarYear,MONTH(JunSun1+37)=6),JunSun1+37,""))</f>
        <v/>
      </c>
      <c r="D15" s="85" t="s">
        <v>8</v>
      </c>
      <c r="E15" s="86"/>
      <c r="F15" s="86"/>
      <c r="G15" s="86"/>
      <c r="H15" s="87"/>
      <c r="I15" s="3"/>
    </row>
    <row r="16" spans="1:18" ht="55.5" customHeight="1" x14ac:dyDescent="0.25">
      <c r="A16"/>
      <c r="B16" s="8"/>
      <c r="C16" s="8"/>
      <c r="D16" s="92"/>
      <c r="E16" s="93"/>
      <c r="F16" s="93"/>
      <c r="G16" s="93"/>
      <c r="H16" s="9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96" t="str">
        <f>UPPER(TEXT(DATE(CalendarYear,7,1),"mmmm yyyy"))</f>
        <v>يوليه 2011</v>
      </c>
      <c r="C3" s="96"/>
      <c r="D3" s="96"/>
      <c r="E3" s="96"/>
      <c r="F3" s="96"/>
    </row>
    <row r="4" spans="1:18" customFormat="1" ht="29.25" customHeight="1" x14ac:dyDescent="0.25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3" t="str">
        <f>IF(DAY(JulSun1)=1,"",IF(AND(YEAR(JulSun1+1)=CalendarYear,MONTH(JulSun1+1)=7),JulSun1+1,""))</f>
        <v/>
      </c>
      <c r="C5" s="23" t="str">
        <f>IF(DAY(JulSun1)=1,"",IF(AND(YEAR(JulSun1+2)=CalendarYear,MONTH(JulSun1+2)=7),JulSun1+2,""))</f>
        <v/>
      </c>
      <c r="D5" s="23" t="str">
        <f>IF(DAY(JulSun1)=1,"",IF(AND(YEAR(JulSun1+3)=CalendarYear,MONTH(JulSun1+3)=7),JulSun1+3,""))</f>
        <v/>
      </c>
      <c r="E5" s="23" t="str">
        <f>IF(DAY(JulSun1)=1,"",IF(AND(YEAR(JulSun1+4)=CalendarYear,MONTH(JulSun1+4)=7),JulSun1+4,""))</f>
        <v/>
      </c>
      <c r="F5" s="23" t="str">
        <f>IF(DAY(JulSun1)=1,"",IF(AND(YEAR(JulSun1+5)=CalendarYear,MONTH(JulSun1+5)=7),JulSun1+5,""))</f>
        <v/>
      </c>
      <c r="G5" s="23">
        <f>IF(DAY(JulSun1)=1,"",IF(AND(YEAR(JulSun1+6)=CalendarYear,MONTH(JulSun1+6)=7),JulSun1+6,""))</f>
        <v>40725</v>
      </c>
      <c r="H5" s="23">
        <f>IF(DAY(JulSun1)=1,IF(AND(YEAR(JulSun1)=CalendarYear,MONTH(JulSun1)=7),JulSun1,""),IF(AND(YEAR(JulSun1+7)=CalendarYear,MONTH(JulSun1+7)=7),JulSun1+7,""))</f>
        <v>40726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6"/>
      <c r="C6" s="16"/>
      <c r="D6" s="16"/>
      <c r="E6" s="16"/>
      <c r="F6" s="16"/>
      <c r="G6" s="17"/>
      <c r="H6" s="17"/>
      <c r="I6" s="3"/>
    </row>
    <row r="7" spans="1:18" ht="15" customHeight="1" x14ac:dyDescent="0.25">
      <c r="A7"/>
      <c r="B7" s="18">
        <f>IF(DAY(JulSun1)=1,IF(AND(YEAR(JulSun1+1)=CalendarYear,MONTH(JulSun1+1)=7),JulSun1+1,""),IF(AND(YEAR(JulSun1+8)=CalendarYear,MONTH(JulSun1+8)=7),JulSun1+8,""))</f>
        <v>40727</v>
      </c>
      <c r="C7" s="18">
        <f>IF(DAY(JulSun1)=1,IF(AND(YEAR(JulSun1+2)=CalendarYear,MONTH(JulSun1+2)=7),JulSun1+2,""),IF(AND(YEAR(JulSun1+9)=CalendarYear,MONTH(JulSun1+9)=7),JulSun1+9,""))</f>
        <v>40728</v>
      </c>
      <c r="D7" s="18">
        <f>IF(DAY(JulSun1)=1,IF(AND(YEAR(JulSun1+3)=CalendarYear,MONTH(JulSun1+3)=7),JulSun1+3,""),IF(AND(YEAR(JulSun1+10)=CalendarYear,MONTH(JulSun1+10)=7),JulSun1+10,""))</f>
        <v>40729</v>
      </c>
      <c r="E7" s="18">
        <f>IF(DAY(JulSun1)=1,IF(AND(YEAR(JulSun1+4)=CalendarYear,MONTH(JulSun1+4)=7),JulSun1+4,""),IF(AND(YEAR(JulSun1+11)=CalendarYear,MONTH(JulSun1+11)=7),JulSun1+11,""))</f>
        <v>40730</v>
      </c>
      <c r="F7" s="18">
        <f>IF(DAY(JulSun1)=1,IF(AND(YEAR(JulSun1+5)=CalendarYear,MONTH(JulSun1+5)=7),JulSun1+5,""),IF(AND(YEAR(JulSun1+12)=CalendarYear,MONTH(JulSun1+12)=7),JulSun1+12,""))</f>
        <v>40731</v>
      </c>
      <c r="G7" s="18">
        <f>IF(DAY(JulSun1)=1,IF(AND(YEAR(JulSun1+6)=CalendarYear,MONTH(JulSun1+6)=7),JulSun1+6,""),IF(AND(YEAR(JulSun1+13)=CalendarYear,MONTH(JulSun1+13)=7),JulSun1+13,""))</f>
        <v>40732</v>
      </c>
      <c r="H7" s="18">
        <f>IF(DAY(JulSun1)=1,IF(AND(YEAR(JulSun1+7)=CalendarYear,MONTH(JulSun1+7)=7),JulSun1+7,""),IF(AND(YEAR(JulSun1+14)=CalendarYear,MONTH(JulSun1+14)=7),JulSun1+14,""))</f>
        <v>40733</v>
      </c>
      <c r="I7" s="3"/>
    </row>
    <row r="8" spans="1:18" ht="55.5" customHeight="1" x14ac:dyDescent="0.25">
      <c r="A8"/>
      <c r="B8" s="19"/>
      <c r="C8" s="19"/>
      <c r="D8" s="19"/>
      <c r="E8" s="19"/>
      <c r="F8" s="19"/>
      <c r="G8" s="20"/>
      <c r="H8" s="20"/>
      <c r="I8" s="3"/>
    </row>
    <row r="9" spans="1:18" ht="15" customHeight="1" x14ac:dyDescent="0.25">
      <c r="A9"/>
      <c r="B9" s="15">
        <f>IF(DAY(JulSun1)=1,IF(AND(YEAR(JulSun1+8)=CalendarYear,MONTH(JulSun1+8)=7),JulSun1+8,""),IF(AND(YEAR(JulSun1+15)=CalendarYear,MONTH(JulSun1+15)=7),JulSun1+15,""))</f>
        <v>40734</v>
      </c>
      <c r="C9" s="15">
        <f>IF(DAY(JulSun1)=1,IF(AND(YEAR(JulSun1+9)=CalendarYear,MONTH(JulSun1+9)=7),JulSun1+9,""),IF(AND(YEAR(JulSun1+16)=CalendarYear,MONTH(JulSun1+16)=7),JulSun1+16,""))</f>
        <v>40735</v>
      </c>
      <c r="D9" s="15">
        <f>IF(DAY(JulSun1)=1,IF(AND(YEAR(JulSun1+10)=CalendarYear,MONTH(JulSun1+10)=7),JulSun1+10,""),IF(AND(YEAR(JulSun1+17)=CalendarYear,MONTH(JulSun1+17)=7),JulSun1+17,""))</f>
        <v>40736</v>
      </c>
      <c r="E9" s="15">
        <f>IF(DAY(JulSun1)=1,IF(AND(YEAR(JulSun1+11)=CalendarYear,MONTH(JulSun1+11)=7),JulSun1+11,""),IF(AND(YEAR(JulSun1+18)=CalendarYear,MONTH(JulSun1+18)=7),JulSun1+18,""))</f>
        <v>40737</v>
      </c>
      <c r="F9" s="15">
        <f>IF(DAY(JulSun1)=1,IF(AND(YEAR(JulSun1+12)=CalendarYear,MONTH(JulSun1+12)=7),JulSun1+12,""),IF(AND(YEAR(JulSun1+19)=CalendarYear,MONTH(JulSun1+19)=7),JulSun1+19,""))</f>
        <v>40738</v>
      </c>
      <c r="G9" s="15">
        <f>IF(DAY(JulSun1)=1,IF(AND(YEAR(JulSun1+13)=CalendarYear,MONTH(JulSun1+13)=7),JulSun1+13,""),IF(AND(YEAR(JulSun1+20)=CalendarYear,MONTH(JulSun1+20)=7),JulSun1+20,""))</f>
        <v>40739</v>
      </c>
      <c r="H9" s="15">
        <f>IF(DAY(JulSun1)=1,IF(AND(YEAR(JulSun1+14)=CalendarYear,MONTH(JulSun1+14)=7),JulSun1+14,""),IF(AND(YEAR(JulSun1+21)=CalendarYear,MONTH(JulSun1+21)=7),JulSun1+21,""))</f>
        <v>40740</v>
      </c>
      <c r="I9" s="3"/>
    </row>
    <row r="10" spans="1:18" ht="55.5" customHeight="1" x14ac:dyDescent="0.25">
      <c r="A10"/>
      <c r="B10" s="16"/>
      <c r="C10" s="16"/>
      <c r="D10" s="16"/>
      <c r="E10" s="16"/>
      <c r="F10" s="16"/>
      <c r="G10" s="17"/>
      <c r="H10" s="17"/>
      <c r="I10" s="3"/>
    </row>
    <row r="11" spans="1:18" ht="15" customHeight="1" x14ac:dyDescent="0.25">
      <c r="A11"/>
      <c r="B11" s="21">
        <f>IF(DAY(JulSun1)=1,IF(AND(YEAR(JulSun1+15)=CalendarYear,MONTH(JulSun1+15)=7),JulSun1+15,""),IF(AND(YEAR(JulSun1+22)=CalendarYear,MONTH(JulSun1+22)=7),JulSun1+22,""))</f>
        <v>40741</v>
      </c>
      <c r="C11" s="21">
        <f>IF(DAY(JulSun1)=1,IF(AND(YEAR(JulSun1+16)=CalendarYear,MONTH(JulSun1+16)=7),JulSun1+16,""),IF(AND(YEAR(JulSun1+23)=CalendarYear,MONTH(JulSun1+23)=7),JulSun1+23,""))</f>
        <v>40742</v>
      </c>
      <c r="D11" s="21">
        <f>IF(DAY(JulSun1)=1,IF(AND(YEAR(JulSun1+17)=CalendarYear,MONTH(JulSun1+17)=7),JulSun1+17,""),IF(AND(YEAR(JulSun1+24)=CalendarYear,MONTH(JulSun1+24)=7),JulSun1+24,""))</f>
        <v>40743</v>
      </c>
      <c r="E11" s="21">
        <f>IF(DAY(JulSun1)=1,IF(AND(YEAR(JulSun1+18)=CalendarYear,MONTH(JulSun1+18)=7),JulSun1+18,""),IF(AND(YEAR(JulSun1+25)=CalendarYear,MONTH(JulSun1+25)=7),JulSun1+25,""))</f>
        <v>40744</v>
      </c>
      <c r="F11" s="21">
        <f>IF(DAY(JulSun1)=1,IF(AND(YEAR(JulSun1+19)=CalendarYear,MONTH(JulSun1+19)=7),JulSun1+19,""),IF(AND(YEAR(JulSun1+26)=CalendarYear,MONTH(JulSun1+26)=7),JulSun1+26,""))</f>
        <v>40745</v>
      </c>
      <c r="G11" s="21">
        <f>IF(DAY(JulSun1)=1,IF(AND(YEAR(JulSun1+20)=CalendarYear,MONTH(JulSun1+20)=7),JulSun1+20,""),IF(AND(YEAR(JulSun1+27)=CalendarYear,MONTH(JulSun1+27)=7),JulSun1+27,""))</f>
        <v>40746</v>
      </c>
      <c r="H11" s="21">
        <f>IF(DAY(JulSun1)=1,IF(AND(YEAR(JulSun1+21)=CalendarYear,MONTH(JulSun1+21)=7),JulSun1+21,""),IF(AND(YEAR(JulSun1+28)=CalendarYear,MONTH(JulSun1+28)=7),JulSun1+28,""))</f>
        <v>40747</v>
      </c>
      <c r="I11" s="3"/>
    </row>
    <row r="12" spans="1:18" ht="55.5" customHeight="1" x14ac:dyDescent="0.25">
      <c r="A12"/>
      <c r="B12" s="19"/>
      <c r="C12" s="19"/>
      <c r="D12" s="19"/>
      <c r="E12" s="19"/>
      <c r="F12" s="19"/>
      <c r="G12" s="20"/>
      <c r="H12" s="20"/>
      <c r="I12" s="3"/>
    </row>
    <row r="13" spans="1:18" ht="15" customHeight="1" x14ac:dyDescent="0.25">
      <c r="A13"/>
      <c r="B13" s="15">
        <f>IF(DAY(JulSun1)=1,IF(AND(YEAR(JulSun1+22)=CalendarYear,MONTH(JulSun1+22)=7),JulSun1+22,""),IF(AND(YEAR(JulSun1+29)=CalendarYear,MONTH(JulSun1+29)=7),JulSun1+29,""))</f>
        <v>40748</v>
      </c>
      <c r="C13" s="15">
        <f>IF(DAY(JulSun1)=1,IF(AND(YEAR(JulSun1+23)=CalendarYear,MONTH(JulSun1+23)=7),JulSun1+23,""),IF(AND(YEAR(JulSun1+30)=CalendarYear,MONTH(JulSun1+30)=7),JulSun1+30,""))</f>
        <v>40749</v>
      </c>
      <c r="D13" s="15">
        <f>IF(DAY(JulSun1)=1,IF(AND(YEAR(JulSun1+24)=CalendarYear,MONTH(JulSun1+24)=7),JulSun1+24,""),IF(AND(YEAR(JulSun1+31)=CalendarYear,MONTH(JulSun1+31)=7),JulSun1+31,""))</f>
        <v>40750</v>
      </c>
      <c r="E13" s="15">
        <f>IF(DAY(JulSun1)=1,IF(AND(YEAR(JulSun1+25)=CalendarYear,MONTH(JulSun1+25)=7),JulSun1+25,""),IF(AND(YEAR(JulSun1+32)=CalendarYear,MONTH(JulSun1+32)=7),JulSun1+32,""))</f>
        <v>40751</v>
      </c>
      <c r="F13" s="15">
        <f>IF(DAY(JulSun1)=1,IF(AND(YEAR(JulSun1+26)=CalendarYear,MONTH(JulSun1+26)=7),JulSun1+26,""),IF(AND(YEAR(JulSun1+33)=CalendarYear,MONTH(JulSun1+33)=7),JulSun1+33,""))</f>
        <v>40752</v>
      </c>
      <c r="G13" s="15">
        <f>IF(DAY(JulSun1)=1,IF(AND(YEAR(JulSun1+27)=CalendarYear,MONTH(JulSun1+27)=7),JulSun1+27,""),IF(AND(YEAR(JulSun1+34)=CalendarYear,MONTH(JulSun1+34)=7),JulSun1+34,""))</f>
        <v>40753</v>
      </c>
      <c r="H13" s="15">
        <f>IF(DAY(JulSun1)=1,IF(AND(YEAR(JulSun1+28)=CalendarYear,MONTH(JulSun1+28)=7),JulSun1+28,""),IF(AND(YEAR(JulSun1+35)=CalendarYear,MONTH(JulSun1+35)=7),JulSun1+35,""))</f>
        <v>40754</v>
      </c>
      <c r="I13" s="3"/>
    </row>
    <row r="14" spans="1:18" ht="55.5" customHeight="1" x14ac:dyDescent="0.25">
      <c r="A14"/>
      <c r="B14" s="16"/>
      <c r="C14" s="16"/>
      <c r="D14" s="16"/>
      <c r="E14" s="16"/>
      <c r="F14" s="16"/>
      <c r="G14" s="17"/>
      <c r="H14" s="17"/>
      <c r="I14" s="3"/>
    </row>
    <row r="15" spans="1:18" ht="15" customHeight="1" x14ac:dyDescent="0.25">
      <c r="A15"/>
      <c r="B15" s="21">
        <f>IF(DAY(JulSun1)=1,IF(AND(YEAR(JulSun1+29)=CalendarYear,MONTH(JulSun1+29)=7),JulSun1+29,""),IF(AND(YEAR(JulSun1+36)=CalendarYear,MONTH(JulSun1+36)=7),JulSun1+36,""))</f>
        <v>40755</v>
      </c>
      <c r="C15" s="22" t="str">
        <f>IF(DAY(JulSun1)=1,IF(AND(YEAR(JulSun1+30)=CalendarYear,MONTH(JulSun1+30)=7),JulSun1+30,""),IF(AND(YEAR(JulSun1+37)=CalendarYear,MONTH(JulSun1+37)=7),JulSun1+37,""))</f>
        <v/>
      </c>
      <c r="D15" s="85" t="s">
        <v>8</v>
      </c>
      <c r="E15" s="86"/>
      <c r="F15" s="86"/>
      <c r="G15" s="86"/>
      <c r="H15" s="87"/>
      <c r="I15" s="3"/>
    </row>
    <row r="16" spans="1:18" ht="55.5" customHeight="1" x14ac:dyDescent="0.25">
      <c r="A16"/>
      <c r="B16" s="19"/>
      <c r="C16" s="19"/>
      <c r="D16" s="92"/>
      <c r="E16" s="93"/>
      <c r="F16" s="93"/>
      <c r="G16" s="93"/>
      <c r="H16" s="9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96" t="str">
        <f>UPPER(TEXT(DATE(CalendarYear,8,1),"mmmm yyyy"))</f>
        <v>أغسطس 2011</v>
      </c>
      <c r="C3" s="96"/>
      <c r="D3" s="96"/>
      <c r="E3" s="96"/>
      <c r="F3" s="96"/>
    </row>
    <row r="4" spans="1:18" customFormat="1" ht="29.25" customHeight="1" x14ac:dyDescent="0.25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3" t="str">
        <f>IF(DAY(AugSun1)=1,"",IF(AND(YEAR(AugSun1+1)=CalendarYear,MONTH(AugSun1+1)=8),AugSun1+1,""))</f>
        <v/>
      </c>
      <c r="C5" s="23">
        <f>IF(DAY(AugSun1)=1,"",IF(AND(YEAR(AugSun1+2)=CalendarYear,MONTH(AugSun1+2)=8),AugSun1+2,""))</f>
        <v>40756</v>
      </c>
      <c r="D5" s="23">
        <f>IF(DAY(AugSun1)=1,"",IF(AND(YEAR(AugSun1+3)=CalendarYear,MONTH(AugSun1+3)=8),AugSun1+3,""))</f>
        <v>40757</v>
      </c>
      <c r="E5" s="23">
        <f>IF(DAY(AugSun1)=1,"",IF(AND(YEAR(AugSun1+4)=CalendarYear,MONTH(AugSun1+4)=8),AugSun1+4,""))</f>
        <v>40758</v>
      </c>
      <c r="F5" s="23">
        <f>IF(DAY(AugSun1)=1,"",IF(AND(YEAR(AugSun1+5)=CalendarYear,MONTH(AugSun1+5)=8),AugSun1+5,""))</f>
        <v>40759</v>
      </c>
      <c r="G5" s="23">
        <f>IF(DAY(AugSun1)=1,"",IF(AND(YEAR(AugSun1+6)=CalendarYear,MONTH(AugSun1+6)=8),AugSun1+6,""))</f>
        <v>40760</v>
      </c>
      <c r="H5" s="23">
        <f>IF(DAY(AugSun1)=1,IF(AND(YEAR(AugSun1)=CalendarYear,MONTH(AugSun1)=8),AugSun1,""),IF(AND(YEAR(AugSun1+7)=CalendarYear,MONTH(AugSun1+7)=8),AugSun1+7,""))</f>
        <v>40761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6"/>
      <c r="C6" s="16"/>
      <c r="D6" s="16"/>
      <c r="E6" s="16"/>
      <c r="F6" s="16"/>
      <c r="G6" s="17"/>
      <c r="H6" s="17"/>
      <c r="I6" s="3"/>
    </row>
    <row r="7" spans="1:18" ht="15" customHeight="1" x14ac:dyDescent="0.25">
      <c r="A7"/>
      <c r="B7" s="18">
        <f>IF(DAY(AugSun1)=1,IF(AND(YEAR(AugSun1+1)=CalendarYear,MONTH(AugSun1+1)=8),AugSun1+1,""),IF(AND(YEAR(AugSun1+8)=CalendarYear,MONTH(AugSun1+8)=8),AugSun1+8,""))</f>
        <v>40762</v>
      </c>
      <c r="C7" s="18">
        <f>IF(DAY(AugSun1)=1,IF(AND(YEAR(AugSun1+2)=CalendarYear,MONTH(AugSun1+2)=8),AugSun1+2,""),IF(AND(YEAR(AugSun1+9)=CalendarYear,MONTH(AugSun1+9)=8),AugSun1+9,""))</f>
        <v>40763</v>
      </c>
      <c r="D7" s="18">
        <f>IF(DAY(AugSun1)=1,IF(AND(YEAR(AugSun1+3)=CalendarYear,MONTH(AugSun1+3)=8),AugSun1+3,""),IF(AND(YEAR(AugSun1+10)=CalendarYear,MONTH(AugSun1+10)=8),AugSun1+10,""))</f>
        <v>40764</v>
      </c>
      <c r="E7" s="18">
        <f>IF(DAY(AugSun1)=1,IF(AND(YEAR(AugSun1+4)=CalendarYear,MONTH(AugSun1+4)=8),AugSun1+4,""),IF(AND(YEAR(AugSun1+11)=CalendarYear,MONTH(AugSun1+11)=8),AugSun1+11,""))</f>
        <v>40765</v>
      </c>
      <c r="F7" s="18">
        <f>IF(DAY(AugSun1)=1,IF(AND(YEAR(AugSun1+5)=CalendarYear,MONTH(AugSun1+5)=8),AugSun1+5,""),IF(AND(YEAR(AugSun1+12)=CalendarYear,MONTH(AugSun1+12)=8),AugSun1+12,""))</f>
        <v>40766</v>
      </c>
      <c r="G7" s="18">
        <f>IF(DAY(AugSun1)=1,IF(AND(YEAR(AugSun1+6)=CalendarYear,MONTH(AugSun1+6)=8),AugSun1+6,""),IF(AND(YEAR(AugSun1+13)=CalendarYear,MONTH(AugSun1+13)=8),AugSun1+13,""))</f>
        <v>40767</v>
      </c>
      <c r="H7" s="18">
        <f>IF(DAY(AugSun1)=1,IF(AND(YEAR(AugSun1+7)=CalendarYear,MONTH(AugSun1+7)=8),AugSun1+7,""),IF(AND(YEAR(AugSun1+14)=CalendarYear,MONTH(AugSun1+14)=8),AugSun1+14,""))</f>
        <v>40768</v>
      </c>
      <c r="I7" s="3"/>
    </row>
    <row r="8" spans="1:18" ht="55.5" customHeight="1" x14ac:dyDescent="0.25">
      <c r="A8"/>
      <c r="B8" s="19"/>
      <c r="C8" s="19"/>
      <c r="D8" s="19"/>
      <c r="E8" s="19"/>
      <c r="F8" s="19"/>
      <c r="G8" s="20"/>
      <c r="H8" s="20"/>
      <c r="I8" s="3"/>
    </row>
    <row r="9" spans="1:18" ht="15" customHeight="1" x14ac:dyDescent="0.25">
      <c r="A9"/>
      <c r="B9" s="15">
        <f>IF(DAY(AugSun1)=1,IF(AND(YEAR(AugSun1+8)=CalendarYear,MONTH(AugSun1+8)=8),AugSun1+8,""),IF(AND(YEAR(AugSun1+15)=CalendarYear,MONTH(AugSun1+15)=8),AugSun1+15,""))</f>
        <v>40769</v>
      </c>
      <c r="C9" s="15">
        <f>IF(DAY(AugSun1)=1,IF(AND(YEAR(AugSun1+9)=CalendarYear,MONTH(AugSun1+9)=8),AugSun1+9,""),IF(AND(YEAR(AugSun1+16)=CalendarYear,MONTH(AugSun1+16)=8),AugSun1+16,""))</f>
        <v>40770</v>
      </c>
      <c r="D9" s="15">
        <f>IF(DAY(AugSun1)=1,IF(AND(YEAR(AugSun1+10)=CalendarYear,MONTH(AugSun1+10)=8),AugSun1+10,""),IF(AND(YEAR(AugSun1+17)=CalendarYear,MONTH(AugSun1+17)=8),AugSun1+17,""))</f>
        <v>40771</v>
      </c>
      <c r="E9" s="15">
        <f>IF(DAY(AugSun1)=1,IF(AND(YEAR(AugSun1+11)=CalendarYear,MONTH(AugSun1+11)=8),AugSun1+11,""),IF(AND(YEAR(AugSun1+18)=CalendarYear,MONTH(AugSun1+18)=8),AugSun1+18,""))</f>
        <v>40772</v>
      </c>
      <c r="F9" s="15">
        <f>IF(DAY(AugSun1)=1,IF(AND(YEAR(AugSun1+12)=CalendarYear,MONTH(AugSun1+12)=8),AugSun1+12,""),IF(AND(YEAR(AugSun1+19)=CalendarYear,MONTH(AugSun1+19)=8),AugSun1+19,""))</f>
        <v>40773</v>
      </c>
      <c r="G9" s="15">
        <f>IF(DAY(AugSun1)=1,IF(AND(YEAR(AugSun1+13)=CalendarYear,MONTH(AugSun1+13)=8),AugSun1+13,""),IF(AND(YEAR(AugSun1+20)=CalendarYear,MONTH(AugSun1+20)=8),AugSun1+20,""))</f>
        <v>40774</v>
      </c>
      <c r="H9" s="15">
        <f>IF(DAY(AugSun1)=1,IF(AND(YEAR(AugSun1+14)=CalendarYear,MONTH(AugSun1+14)=8),AugSun1+14,""),IF(AND(YEAR(AugSun1+21)=CalendarYear,MONTH(AugSun1+21)=8),AugSun1+21,""))</f>
        <v>40775</v>
      </c>
      <c r="I9" s="3"/>
    </row>
    <row r="10" spans="1:18" ht="55.5" customHeight="1" x14ac:dyDescent="0.25">
      <c r="A10"/>
      <c r="B10" s="16"/>
      <c r="C10" s="16"/>
      <c r="D10" s="16"/>
      <c r="E10" s="16"/>
      <c r="F10" s="16"/>
      <c r="G10" s="17"/>
      <c r="H10" s="17"/>
      <c r="I10" s="3"/>
    </row>
    <row r="11" spans="1:18" ht="15" customHeight="1" x14ac:dyDescent="0.25">
      <c r="A11"/>
      <c r="B11" s="21">
        <f>IF(DAY(AugSun1)=1,IF(AND(YEAR(AugSun1+15)=CalendarYear,MONTH(AugSun1+15)=8),AugSun1+15,""),IF(AND(YEAR(AugSun1+22)=CalendarYear,MONTH(AugSun1+22)=8),AugSun1+22,""))</f>
        <v>40776</v>
      </c>
      <c r="C11" s="21">
        <f>IF(DAY(AugSun1)=1,IF(AND(YEAR(AugSun1+16)=CalendarYear,MONTH(AugSun1+16)=8),AugSun1+16,""),IF(AND(YEAR(AugSun1+23)=CalendarYear,MONTH(AugSun1+23)=8),AugSun1+23,""))</f>
        <v>40777</v>
      </c>
      <c r="D11" s="21">
        <f>IF(DAY(AugSun1)=1,IF(AND(YEAR(AugSun1+17)=CalendarYear,MONTH(AugSun1+17)=8),AugSun1+17,""),IF(AND(YEAR(AugSun1+24)=CalendarYear,MONTH(AugSun1+24)=8),AugSun1+24,""))</f>
        <v>40778</v>
      </c>
      <c r="E11" s="21">
        <f>IF(DAY(AugSun1)=1,IF(AND(YEAR(AugSun1+18)=CalendarYear,MONTH(AugSun1+18)=8),AugSun1+18,""),IF(AND(YEAR(AugSun1+25)=CalendarYear,MONTH(AugSun1+25)=8),AugSun1+25,""))</f>
        <v>40779</v>
      </c>
      <c r="F11" s="21">
        <f>IF(DAY(AugSun1)=1,IF(AND(YEAR(AugSun1+19)=CalendarYear,MONTH(AugSun1+19)=8),AugSun1+19,""),IF(AND(YEAR(AugSun1+26)=CalendarYear,MONTH(AugSun1+26)=8),AugSun1+26,""))</f>
        <v>40780</v>
      </c>
      <c r="G11" s="21">
        <f>IF(DAY(AugSun1)=1,IF(AND(YEAR(AugSun1+20)=CalendarYear,MONTH(AugSun1+20)=8),AugSun1+20,""),IF(AND(YEAR(AugSun1+27)=CalendarYear,MONTH(AugSun1+27)=8),AugSun1+27,""))</f>
        <v>40781</v>
      </c>
      <c r="H11" s="21">
        <f>IF(DAY(AugSun1)=1,IF(AND(YEAR(AugSun1+21)=CalendarYear,MONTH(AugSun1+21)=8),AugSun1+21,""),IF(AND(YEAR(AugSun1+28)=CalendarYear,MONTH(AugSun1+28)=8),AugSun1+28,""))</f>
        <v>40782</v>
      </c>
      <c r="I11" s="3"/>
    </row>
    <row r="12" spans="1:18" ht="55.5" customHeight="1" x14ac:dyDescent="0.25">
      <c r="A12"/>
      <c r="B12" s="19"/>
      <c r="C12" s="19"/>
      <c r="D12" s="19"/>
      <c r="E12" s="19"/>
      <c r="F12" s="19"/>
      <c r="G12" s="20"/>
      <c r="H12" s="20"/>
      <c r="I12" s="3"/>
    </row>
    <row r="13" spans="1:18" ht="15" customHeight="1" x14ac:dyDescent="0.25">
      <c r="A13"/>
      <c r="B13" s="15">
        <f>IF(DAY(AugSun1)=1,IF(AND(YEAR(AugSun1+22)=CalendarYear,MONTH(AugSun1+22)=8),AugSun1+22,""),IF(AND(YEAR(AugSun1+29)=CalendarYear,MONTH(AugSun1+29)=8),AugSun1+29,""))</f>
        <v>40783</v>
      </c>
      <c r="C13" s="15">
        <f>IF(DAY(AugSun1)=1,IF(AND(YEAR(AugSun1+23)=CalendarYear,MONTH(AugSun1+23)=8),AugSun1+23,""),IF(AND(YEAR(AugSun1+30)=CalendarYear,MONTH(AugSun1+30)=8),AugSun1+30,""))</f>
        <v>40784</v>
      </c>
      <c r="D13" s="15">
        <f>IF(DAY(AugSun1)=1,IF(AND(YEAR(AugSun1+24)=CalendarYear,MONTH(AugSun1+24)=8),AugSun1+24,""),IF(AND(YEAR(AugSun1+31)=CalendarYear,MONTH(AugSun1+31)=8),AugSun1+31,""))</f>
        <v>40785</v>
      </c>
      <c r="E13" s="15">
        <f>IF(DAY(AugSun1)=1,IF(AND(YEAR(AugSun1+25)=CalendarYear,MONTH(AugSun1+25)=8),AugSun1+25,""),IF(AND(YEAR(AugSun1+32)=CalendarYear,MONTH(AugSun1+32)=8),AugSun1+32,""))</f>
        <v>40786</v>
      </c>
      <c r="F13" s="15" t="str">
        <f>IF(DAY(AugSun1)=1,IF(AND(YEAR(AugSun1+26)=CalendarYear,MONTH(AugSun1+26)=8),AugSun1+26,""),IF(AND(YEAR(AugSun1+33)=CalendarYear,MONTH(AugSun1+33)=8),AugSun1+33,""))</f>
        <v/>
      </c>
      <c r="G13" s="15" t="str">
        <f>IF(DAY(AugSun1)=1,IF(AND(YEAR(AugSun1+27)=CalendarYear,MONTH(AugSun1+27)=8),AugSun1+27,""),IF(AND(YEAR(AugSun1+34)=CalendarYear,MONTH(AugSun1+34)=8),AugSun1+34,""))</f>
        <v/>
      </c>
      <c r="H13" s="15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16"/>
      <c r="C14" s="16"/>
      <c r="D14" s="16"/>
      <c r="E14" s="16"/>
      <c r="F14" s="16"/>
      <c r="G14" s="17"/>
      <c r="H14" s="17"/>
      <c r="I14" s="3"/>
    </row>
    <row r="15" spans="1:18" ht="15" customHeight="1" x14ac:dyDescent="0.25">
      <c r="A15"/>
      <c r="B15" s="9" t="str">
        <f>IF(DAY(AugSun1)=1,IF(AND(YEAR(AugSun1+29)=CalendarYear,MONTH(AugSun1+29)=8),AugSun1+29,""),IF(AND(YEAR(AugSun1+36)=CalendarYear,MONTH(AugSun1+36)=8),AugSun1+36,""))</f>
        <v/>
      </c>
      <c r="C15" s="10" t="str">
        <f>IF(DAY(AugSun1)=1,IF(AND(YEAR(AugSun1+30)=CalendarYear,MONTH(AugSun1+30)=8),AugSun1+30,""),IF(AND(YEAR(AugSun1+37)=CalendarYear,MONTH(AugSun1+37)=8),AugSun1+37,""))</f>
        <v/>
      </c>
      <c r="D15" s="85" t="s">
        <v>8</v>
      </c>
      <c r="E15" s="86"/>
      <c r="F15" s="86"/>
      <c r="G15" s="86"/>
      <c r="H15" s="87"/>
      <c r="I15" s="3"/>
    </row>
    <row r="16" spans="1:18" ht="55.5" customHeight="1" x14ac:dyDescent="0.25">
      <c r="A16"/>
      <c r="B16" s="8"/>
      <c r="C16" s="8"/>
      <c r="D16" s="92"/>
      <c r="E16" s="93"/>
      <c r="F16" s="93"/>
      <c r="G16" s="93"/>
      <c r="H16" s="9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97" t="str">
        <f>UPPER(TEXT(DATE(CalendarYear,9,1),"mmmm yyyy"))</f>
        <v>سبتمبر 2011</v>
      </c>
      <c r="C3" s="97"/>
      <c r="D3" s="97"/>
      <c r="E3" s="97"/>
      <c r="F3" s="97"/>
    </row>
    <row r="4" spans="1:18" customFormat="1" ht="29.25" customHeight="1" x14ac:dyDescent="0.25">
      <c r="B4" s="11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4" t="s">
        <v>1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3" t="str">
        <f>IF(DAY(SepSun1)=1,"",IF(AND(YEAR(SepSun1+1)=CalendarYear,MONTH(SepSun1+1)=9),SepSun1+1,""))</f>
        <v/>
      </c>
      <c r="C5" s="23" t="str">
        <f>IF(DAY(SepSun1)=1,"",IF(AND(YEAR(SepSun1+2)=CalendarYear,MONTH(SepSun1+2)=9),SepSun1+2,""))</f>
        <v/>
      </c>
      <c r="D5" s="23" t="str">
        <f>IF(DAY(SepSun1)=1,"",IF(AND(YEAR(SepSun1+3)=CalendarYear,MONTH(SepSun1+3)=9),SepSun1+3,""))</f>
        <v/>
      </c>
      <c r="E5" s="23" t="str">
        <f>IF(DAY(SepSun1)=1,"",IF(AND(YEAR(SepSun1+4)=CalendarYear,MONTH(SepSun1+4)=9),SepSun1+4,""))</f>
        <v/>
      </c>
      <c r="F5" s="23">
        <f>IF(DAY(SepSun1)=1,"",IF(AND(YEAR(SepSun1+5)=CalendarYear,MONTH(SepSun1+5)=9),SepSun1+5,""))</f>
        <v>40787</v>
      </c>
      <c r="G5" s="23">
        <f>IF(DAY(SepSun1)=1,"",IF(AND(YEAR(SepSun1+6)=CalendarYear,MONTH(SepSun1+6)=9),SepSun1+6,""))</f>
        <v>40788</v>
      </c>
      <c r="H5" s="23">
        <f>IF(DAY(SepSun1)=1,IF(AND(YEAR(SepSun1)=CalendarYear,MONTH(SepSun1)=9),SepSun1,""),IF(AND(YEAR(SepSun1+7)=CalendarYear,MONTH(SepSun1+7)=9),SepSun1+7,""))</f>
        <v>40789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6"/>
      <c r="C6" s="16"/>
      <c r="D6" s="16"/>
      <c r="E6" s="16"/>
      <c r="F6" s="16"/>
      <c r="G6" s="17"/>
      <c r="H6" s="17"/>
      <c r="I6" s="3"/>
    </row>
    <row r="7" spans="1:18" ht="15" customHeight="1" x14ac:dyDescent="0.25">
      <c r="A7"/>
      <c r="B7" s="18">
        <f>IF(DAY(SepSun1)=1,IF(AND(YEAR(SepSun1+1)=CalendarYear,MONTH(SepSun1+1)=9),SepSun1+1,""),IF(AND(YEAR(SepSun1+8)=CalendarYear,MONTH(SepSun1+8)=9),SepSun1+8,""))</f>
        <v>40790</v>
      </c>
      <c r="C7" s="18">
        <f>IF(DAY(SepSun1)=1,IF(AND(YEAR(SepSun1+2)=CalendarYear,MONTH(SepSun1+2)=9),SepSun1+2,""),IF(AND(YEAR(SepSun1+9)=CalendarYear,MONTH(SepSun1+9)=9),SepSun1+9,""))</f>
        <v>40791</v>
      </c>
      <c r="D7" s="18">
        <f>IF(DAY(SepSun1)=1,IF(AND(YEAR(SepSun1+3)=CalendarYear,MONTH(SepSun1+3)=9),SepSun1+3,""),IF(AND(YEAR(SepSun1+10)=CalendarYear,MONTH(SepSun1+10)=9),SepSun1+10,""))</f>
        <v>40792</v>
      </c>
      <c r="E7" s="18">
        <f>IF(DAY(SepSun1)=1,IF(AND(YEAR(SepSun1+4)=CalendarYear,MONTH(SepSun1+4)=9),SepSun1+4,""),IF(AND(YEAR(SepSun1+11)=CalendarYear,MONTH(SepSun1+11)=9),SepSun1+11,""))</f>
        <v>40793</v>
      </c>
      <c r="F7" s="18">
        <f>IF(DAY(SepSun1)=1,IF(AND(YEAR(SepSun1+5)=CalendarYear,MONTH(SepSun1+5)=9),SepSun1+5,""),IF(AND(YEAR(SepSun1+12)=CalendarYear,MONTH(SepSun1+12)=9),SepSun1+12,""))</f>
        <v>40794</v>
      </c>
      <c r="G7" s="18">
        <f>IF(DAY(SepSun1)=1,IF(AND(YEAR(SepSun1+6)=CalendarYear,MONTH(SepSun1+6)=9),SepSun1+6,""),IF(AND(YEAR(SepSun1+13)=CalendarYear,MONTH(SepSun1+13)=9),SepSun1+13,""))</f>
        <v>40795</v>
      </c>
      <c r="H7" s="18">
        <f>IF(DAY(SepSun1)=1,IF(AND(YEAR(SepSun1+7)=CalendarYear,MONTH(SepSun1+7)=9),SepSun1+7,""),IF(AND(YEAR(SepSun1+14)=CalendarYear,MONTH(SepSun1+14)=9),SepSun1+14,""))</f>
        <v>40796</v>
      </c>
      <c r="I7" s="3"/>
    </row>
    <row r="8" spans="1:18" ht="55.5" customHeight="1" x14ac:dyDescent="0.25">
      <c r="A8"/>
      <c r="B8" s="19"/>
      <c r="C8" s="19"/>
      <c r="D8" s="19"/>
      <c r="E8" s="19"/>
      <c r="F8" s="19"/>
      <c r="G8" s="20"/>
      <c r="H8" s="20"/>
      <c r="I8" s="3"/>
    </row>
    <row r="9" spans="1:18" ht="15" customHeight="1" x14ac:dyDescent="0.25">
      <c r="A9"/>
      <c r="B9" s="15">
        <f>IF(DAY(SepSun1)=1,IF(AND(YEAR(SepSun1+8)=CalendarYear,MONTH(SepSun1+8)=9),SepSun1+8,""),IF(AND(YEAR(SepSun1+15)=CalendarYear,MONTH(SepSun1+15)=9),SepSun1+15,""))</f>
        <v>40797</v>
      </c>
      <c r="C9" s="15">
        <f>IF(DAY(SepSun1)=1,IF(AND(YEAR(SepSun1+9)=CalendarYear,MONTH(SepSun1+9)=9),SepSun1+9,""),IF(AND(YEAR(SepSun1+16)=CalendarYear,MONTH(SepSun1+16)=9),SepSun1+16,""))</f>
        <v>40798</v>
      </c>
      <c r="D9" s="15">
        <f>IF(DAY(SepSun1)=1,IF(AND(YEAR(SepSun1+10)=CalendarYear,MONTH(SepSun1+10)=9),SepSun1+10,""),IF(AND(YEAR(SepSun1+17)=CalendarYear,MONTH(SepSun1+17)=9),SepSun1+17,""))</f>
        <v>40799</v>
      </c>
      <c r="E9" s="15">
        <f>IF(DAY(SepSun1)=1,IF(AND(YEAR(SepSun1+11)=CalendarYear,MONTH(SepSun1+11)=9),SepSun1+11,""),IF(AND(YEAR(SepSun1+18)=CalendarYear,MONTH(SepSun1+18)=9),SepSun1+18,""))</f>
        <v>40800</v>
      </c>
      <c r="F9" s="15">
        <f>IF(DAY(SepSun1)=1,IF(AND(YEAR(SepSun1+12)=CalendarYear,MONTH(SepSun1+12)=9),SepSun1+12,""),IF(AND(YEAR(SepSun1+19)=CalendarYear,MONTH(SepSun1+19)=9),SepSun1+19,""))</f>
        <v>40801</v>
      </c>
      <c r="G9" s="15">
        <f>IF(DAY(SepSun1)=1,IF(AND(YEAR(SepSun1+13)=CalendarYear,MONTH(SepSun1+13)=9),SepSun1+13,""),IF(AND(YEAR(SepSun1+20)=CalendarYear,MONTH(SepSun1+20)=9),SepSun1+20,""))</f>
        <v>40802</v>
      </c>
      <c r="H9" s="15">
        <f>IF(DAY(SepSun1)=1,IF(AND(YEAR(SepSun1+14)=CalendarYear,MONTH(SepSun1+14)=9),SepSun1+14,""),IF(AND(YEAR(SepSun1+21)=CalendarYear,MONTH(SepSun1+21)=9),SepSun1+21,""))</f>
        <v>40803</v>
      </c>
      <c r="I9" s="3"/>
    </row>
    <row r="10" spans="1:18" ht="55.5" customHeight="1" x14ac:dyDescent="0.25">
      <c r="A10"/>
      <c r="B10" s="16"/>
      <c r="C10" s="16"/>
      <c r="D10" s="16"/>
      <c r="E10" s="16"/>
      <c r="F10" s="16"/>
      <c r="G10" s="17"/>
      <c r="H10" s="17"/>
      <c r="I10" s="3"/>
    </row>
    <row r="11" spans="1:18" ht="15" customHeight="1" x14ac:dyDescent="0.25">
      <c r="A11"/>
      <c r="B11" s="21">
        <f>IF(DAY(SepSun1)=1,IF(AND(YEAR(SepSun1+15)=CalendarYear,MONTH(SepSun1+15)=9),SepSun1+15,""),IF(AND(YEAR(SepSun1+22)=CalendarYear,MONTH(SepSun1+22)=9),SepSun1+22,""))</f>
        <v>40804</v>
      </c>
      <c r="C11" s="21">
        <f>IF(DAY(SepSun1)=1,IF(AND(YEAR(SepSun1+16)=CalendarYear,MONTH(SepSun1+16)=9),SepSun1+16,""),IF(AND(YEAR(SepSun1+23)=CalendarYear,MONTH(SepSun1+23)=9),SepSun1+23,""))</f>
        <v>40805</v>
      </c>
      <c r="D11" s="21">
        <f>IF(DAY(SepSun1)=1,IF(AND(YEAR(SepSun1+17)=CalendarYear,MONTH(SepSun1+17)=9),SepSun1+17,""),IF(AND(YEAR(SepSun1+24)=CalendarYear,MONTH(SepSun1+24)=9),SepSun1+24,""))</f>
        <v>40806</v>
      </c>
      <c r="E11" s="21">
        <f>IF(DAY(SepSun1)=1,IF(AND(YEAR(SepSun1+18)=CalendarYear,MONTH(SepSun1+18)=9),SepSun1+18,""),IF(AND(YEAR(SepSun1+25)=CalendarYear,MONTH(SepSun1+25)=9),SepSun1+25,""))</f>
        <v>40807</v>
      </c>
      <c r="F11" s="21">
        <f>IF(DAY(SepSun1)=1,IF(AND(YEAR(SepSun1+19)=CalendarYear,MONTH(SepSun1+19)=9),SepSun1+19,""),IF(AND(YEAR(SepSun1+26)=CalendarYear,MONTH(SepSun1+26)=9),SepSun1+26,""))</f>
        <v>40808</v>
      </c>
      <c r="G11" s="21">
        <f>IF(DAY(SepSun1)=1,IF(AND(YEAR(SepSun1+20)=CalendarYear,MONTH(SepSun1+20)=9),SepSun1+20,""),IF(AND(YEAR(SepSun1+27)=CalendarYear,MONTH(SepSun1+27)=9),SepSun1+27,""))</f>
        <v>40809</v>
      </c>
      <c r="H11" s="21">
        <f>IF(DAY(SepSun1)=1,IF(AND(YEAR(SepSun1+21)=CalendarYear,MONTH(SepSun1+21)=9),SepSun1+21,""),IF(AND(YEAR(SepSun1+28)=CalendarYear,MONTH(SepSun1+28)=9),SepSun1+28,""))</f>
        <v>40810</v>
      </c>
      <c r="I11" s="3"/>
    </row>
    <row r="12" spans="1:18" ht="55.5" customHeight="1" x14ac:dyDescent="0.25">
      <c r="A12"/>
      <c r="B12" s="19"/>
      <c r="C12" s="19"/>
      <c r="D12" s="19"/>
      <c r="E12" s="19"/>
      <c r="F12" s="19"/>
      <c r="G12" s="20"/>
      <c r="H12" s="20"/>
      <c r="I12" s="3"/>
    </row>
    <row r="13" spans="1:18" ht="15" customHeight="1" x14ac:dyDescent="0.25">
      <c r="A13"/>
      <c r="B13" s="15">
        <f>IF(DAY(SepSun1)=1,IF(AND(YEAR(SepSun1+22)=CalendarYear,MONTH(SepSun1+22)=9),SepSun1+22,""),IF(AND(YEAR(SepSun1+29)=CalendarYear,MONTH(SepSun1+29)=9),SepSun1+29,""))</f>
        <v>40811</v>
      </c>
      <c r="C13" s="15">
        <f>IF(DAY(SepSun1)=1,IF(AND(YEAR(SepSun1+23)=CalendarYear,MONTH(SepSun1+23)=9),SepSun1+23,""),IF(AND(YEAR(SepSun1+30)=CalendarYear,MONTH(SepSun1+30)=9),SepSun1+30,""))</f>
        <v>40812</v>
      </c>
      <c r="D13" s="15">
        <f>IF(DAY(SepSun1)=1,IF(AND(YEAR(SepSun1+24)=CalendarYear,MONTH(SepSun1+24)=9),SepSun1+24,""),IF(AND(YEAR(SepSun1+31)=CalendarYear,MONTH(SepSun1+31)=9),SepSun1+31,""))</f>
        <v>40813</v>
      </c>
      <c r="E13" s="15">
        <f>IF(DAY(SepSun1)=1,IF(AND(YEAR(SepSun1+25)=CalendarYear,MONTH(SepSun1+25)=9),SepSun1+25,""),IF(AND(YEAR(SepSun1+32)=CalendarYear,MONTH(SepSun1+32)=9),SepSun1+32,""))</f>
        <v>40814</v>
      </c>
      <c r="F13" s="15">
        <f>IF(DAY(SepSun1)=1,IF(AND(YEAR(SepSun1+26)=CalendarYear,MONTH(SepSun1+26)=9),SepSun1+26,""),IF(AND(YEAR(SepSun1+33)=CalendarYear,MONTH(SepSun1+33)=9),SepSun1+33,""))</f>
        <v>40815</v>
      </c>
      <c r="G13" s="15">
        <f>IF(DAY(SepSun1)=1,IF(AND(YEAR(SepSun1+27)=CalendarYear,MONTH(SepSun1+27)=9),SepSun1+27,""),IF(AND(YEAR(SepSun1+34)=CalendarYear,MONTH(SepSun1+34)=9),SepSun1+34,""))</f>
        <v>40816</v>
      </c>
      <c r="H13" s="15" t="str">
        <f>IF(DAY(SepSun1)=1,IF(AND(YEAR(SepSun1+28)=CalendarYear,MONTH(SepSun1+28)=9),SepSun1+28,""),IF(AND(YEAR(SepSun1+35)=CalendarYear,MONTH(SepSun1+35)=9),SepSun1+35,""))</f>
        <v/>
      </c>
      <c r="I13" s="3"/>
    </row>
    <row r="14" spans="1:18" ht="55.5" customHeight="1" x14ac:dyDescent="0.25">
      <c r="A14"/>
      <c r="B14" s="16"/>
      <c r="C14" s="16"/>
      <c r="D14" s="16"/>
      <c r="E14" s="16"/>
      <c r="F14" s="16"/>
      <c r="G14" s="17"/>
      <c r="H14" s="17"/>
      <c r="I14" s="3"/>
    </row>
    <row r="15" spans="1:18" ht="15" customHeight="1" x14ac:dyDescent="0.25">
      <c r="A15"/>
      <c r="B15" s="9" t="str">
        <f>IF(DAY(SepSun1)=1,IF(AND(YEAR(SepSun1+29)=CalendarYear,MONTH(SepSun1+29)=9),SepSun1+29,""),IF(AND(YEAR(SepSun1+36)=CalendarYear,MONTH(SepSun1+36)=9),SepSun1+36,""))</f>
        <v/>
      </c>
      <c r="C15" s="10" t="str">
        <f>IF(DAY(SepSun1)=1,IF(AND(YEAR(SepSun1+30)=CalendarYear,MONTH(SepSun1+30)=9),SepSun1+30,""),IF(AND(YEAR(SepSun1+37)=CalendarYear,MONTH(SepSun1+37)=9),SepSun1+37,""))</f>
        <v/>
      </c>
      <c r="D15" s="85" t="s">
        <v>8</v>
      </c>
      <c r="E15" s="86"/>
      <c r="F15" s="86"/>
      <c r="G15" s="86"/>
      <c r="H15" s="87"/>
      <c r="I15" s="3"/>
    </row>
    <row r="16" spans="1:18" ht="55.5" customHeight="1" x14ac:dyDescent="0.25">
      <c r="A16"/>
      <c r="B16" s="8"/>
      <c r="C16" s="8"/>
      <c r="D16" s="92"/>
      <c r="E16" s="93"/>
      <c r="F16" s="93"/>
      <c r="G16" s="93"/>
      <c r="H16" s="9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A527E9BDFA242146B59EAA0A2BBC516804009EC5643677B736459CE4ACB8094A990F" ma:contentTypeVersion="69" ma:contentTypeDescription="Create a new document." ma:contentTypeScope="" ma:versionID="652eb7346005af65e04088badddd82f5">
  <xsd:schema xmlns:xsd="http://www.w3.org/2001/XMLSchema" xmlns:xs="http://www.w3.org/2001/XMLSchema" xmlns:p="http://schemas.microsoft.com/office/2006/metadata/properties" xmlns:ns2="90312ced-24b1-4a04-9112-3ea331aa5919" xmlns:ns3="41ef7931-2f43-42ee-9374-56eb6ce620f4" targetNamespace="http://schemas.microsoft.com/office/2006/metadata/properties" ma:root="true" ma:fieldsID="a1a5f1565ce8526d5f683002e14b63f8" ns2:_="" ns3:_="">
    <xsd:import namespace="90312ced-24b1-4a04-9112-3ea331aa5919"/>
    <xsd:import namespace="41ef7931-2f43-42ee-9374-56eb6ce620f4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  <xsd:element ref="ns3:Description0" minOccurs="0"/>
                <xsd:element ref="ns3:Compon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312ced-24b1-4a04-9112-3ea331aa5919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6e3a7210-f659-47eb-b7d4-9ee2aecd62e2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9AC07437-707F-44C4-B152-C4FC4019B6ED}" ma:internalName="CSXSubmissionMarket" ma:readOnly="false" ma:showField="MarketName" ma:web="90312ced-24b1-4a04-9112-3ea331aa5919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c4a199ee-c7bc-4bbc-b513-88b9b062696a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265EC822-753B-4D08-ABD2-7528F7EA7549}" ma:internalName="InProjectListLookup" ma:readOnly="true" ma:showField="InProjectList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deadd727-1c15-4aef-bbd3-8cf4bcd7f367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265EC822-753B-4D08-ABD2-7528F7EA7549}" ma:internalName="LastCompleteVersionLookup" ma:readOnly="true" ma:showField="LastCompleteVersion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265EC822-753B-4D08-ABD2-7528F7EA7549}" ma:internalName="LastPreviewErrorLookup" ma:readOnly="true" ma:showField="LastPreviewError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265EC822-753B-4D08-ABD2-7528F7EA7549}" ma:internalName="LastPreviewResultLookup" ma:readOnly="true" ma:showField="LastPreviewResult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265EC822-753B-4D08-ABD2-7528F7EA7549}" ma:internalName="LastPreviewAttemptDateLookup" ma:readOnly="true" ma:showField="LastPreviewAttemptDate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265EC822-753B-4D08-ABD2-7528F7EA7549}" ma:internalName="LastPreviewedByLookup" ma:readOnly="true" ma:showField="LastPreviewedBy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265EC822-753B-4D08-ABD2-7528F7EA7549}" ma:internalName="LastPreviewTimeLookup" ma:readOnly="true" ma:showField="LastPreviewTime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265EC822-753B-4D08-ABD2-7528F7EA7549}" ma:internalName="LastPreviewVersionLookup" ma:readOnly="true" ma:showField="LastPreviewVersion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265EC822-753B-4D08-ABD2-7528F7EA7549}" ma:internalName="LastPublishErrorLookup" ma:readOnly="true" ma:showField="LastPublishError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265EC822-753B-4D08-ABD2-7528F7EA7549}" ma:internalName="LastPublishResultLookup" ma:readOnly="true" ma:showField="LastPublishResult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265EC822-753B-4D08-ABD2-7528F7EA7549}" ma:internalName="LastPublishAttemptDateLookup" ma:readOnly="true" ma:showField="LastPublishAttemptDate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265EC822-753B-4D08-ABD2-7528F7EA7549}" ma:internalName="LastPublishedByLookup" ma:readOnly="true" ma:showField="LastPublishedBy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265EC822-753B-4D08-ABD2-7528F7EA7549}" ma:internalName="LastPublishTimeLookup" ma:readOnly="true" ma:showField="LastPublishTime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265EC822-753B-4D08-ABD2-7528F7EA7549}" ma:internalName="LastPublishVersionLookup" ma:readOnly="true" ma:showField="LastPublishVersion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1F0DC429-C65C-4AF3-B99B-271EB3084235}" ma:internalName="LocLastLocAttemptVersionLookup" ma:readOnly="false" ma:showField="LastLocAttemptVersion" ma:web="90312ced-24b1-4a04-9112-3ea331aa5919">
      <xsd:simpleType>
        <xsd:restriction base="dms:Lookup"/>
      </xsd:simpleType>
    </xsd:element>
    <xsd:element name="LocLastLocAttemptVersionTypeLookup" ma:index="72" nillable="true" ma:displayName="Loc Last Loc Attempt Version Type" ma:default="" ma:list="{1F0DC429-C65C-4AF3-B99B-271EB3084235}" ma:internalName="LocLastLocAttemptVersionTypeLookup" ma:readOnly="true" ma:showField="LastLocAttemptVersionType" ma:web="90312ced-24b1-4a04-9112-3ea331aa5919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1F0DC429-C65C-4AF3-B99B-271EB3084235}" ma:internalName="LocNewPublishedVersionLookup" ma:readOnly="true" ma:showField="NewPublishedVersion" ma:web="90312ced-24b1-4a04-9112-3ea331aa5919">
      <xsd:simpleType>
        <xsd:restriction base="dms:Lookup"/>
      </xsd:simpleType>
    </xsd:element>
    <xsd:element name="LocOverallHandbackStatusLookup" ma:index="76" nillable="true" ma:displayName="Loc Overall Handback Status" ma:default="" ma:list="{1F0DC429-C65C-4AF3-B99B-271EB3084235}" ma:internalName="LocOverallHandbackStatusLookup" ma:readOnly="true" ma:showField="OverallHandbackStatus" ma:web="90312ced-24b1-4a04-9112-3ea331aa5919">
      <xsd:simpleType>
        <xsd:restriction base="dms:Lookup"/>
      </xsd:simpleType>
    </xsd:element>
    <xsd:element name="LocOverallLocStatusLookup" ma:index="77" nillable="true" ma:displayName="Loc Overall Localize Status" ma:default="" ma:list="{1F0DC429-C65C-4AF3-B99B-271EB3084235}" ma:internalName="LocOverallLocStatusLookup" ma:readOnly="true" ma:showField="OverallLocStatus" ma:web="90312ced-24b1-4a04-9112-3ea331aa5919">
      <xsd:simpleType>
        <xsd:restriction base="dms:Lookup"/>
      </xsd:simpleType>
    </xsd:element>
    <xsd:element name="LocOverallPreviewStatusLookup" ma:index="78" nillable="true" ma:displayName="Loc Overall Preview Status" ma:default="" ma:list="{1F0DC429-C65C-4AF3-B99B-271EB3084235}" ma:internalName="LocOverallPreviewStatusLookup" ma:readOnly="true" ma:showField="OverallPreviewStatus" ma:web="90312ced-24b1-4a04-9112-3ea331aa5919">
      <xsd:simpleType>
        <xsd:restriction base="dms:Lookup"/>
      </xsd:simpleType>
    </xsd:element>
    <xsd:element name="LocOverallPublishStatusLookup" ma:index="79" nillable="true" ma:displayName="Loc Overall Publish Status" ma:default="" ma:list="{1F0DC429-C65C-4AF3-B99B-271EB3084235}" ma:internalName="LocOverallPublishStatusLookup" ma:readOnly="true" ma:showField="OverallPublishStatus" ma:web="90312ced-24b1-4a04-9112-3ea331aa5919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1F0DC429-C65C-4AF3-B99B-271EB3084235}" ma:internalName="LocProcessedForHandoffsLookup" ma:readOnly="true" ma:showField="ProcessedForHandoffs" ma:web="90312ced-24b1-4a04-9112-3ea331aa5919">
      <xsd:simpleType>
        <xsd:restriction base="dms:Lookup"/>
      </xsd:simpleType>
    </xsd:element>
    <xsd:element name="LocProcessedForMarketsLookup" ma:index="82" nillable="true" ma:displayName="Loc Processed For Markets" ma:default="" ma:list="{1F0DC429-C65C-4AF3-B99B-271EB3084235}" ma:internalName="LocProcessedForMarketsLookup" ma:readOnly="true" ma:showField="ProcessedForMarkets" ma:web="90312ced-24b1-4a04-9112-3ea331aa5919">
      <xsd:simpleType>
        <xsd:restriction base="dms:Lookup"/>
      </xsd:simpleType>
    </xsd:element>
    <xsd:element name="LocPublishedDependentAssetsLookup" ma:index="83" nillable="true" ma:displayName="Loc Published Dependent Assets" ma:default="" ma:list="{1F0DC429-C65C-4AF3-B99B-271EB3084235}" ma:internalName="LocPublishedDependentAssetsLookup" ma:readOnly="true" ma:showField="PublishedDependentAssets" ma:web="90312ced-24b1-4a04-9112-3ea331aa5919">
      <xsd:simpleType>
        <xsd:restriction base="dms:Lookup"/>
      </xsd:simpleType>
    </xsd:element>
    <xsd:element name="LocPublishedLinkedAssetsLookup" ma:index="84" nillable="true" ma:displayName="Loc Published Linked Assets" ma:default="" ma:list="{1F0DC429-C65C-4AF3-B99B-271EB3084235}" ma:internalName="LocPublishedLinkedAssetsLookup" ma:readOnly="true" ma:showField="PublishedLinkedAssets" ma:web="90312ced-24b1-4a04-9112-3ea331aa5919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7194e7d7-e777-4d42-ba51-7323e45a00f8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9AC07437-707F-44C4-B152-C4FC4019B6ED}" ma:internalName="Markets" ma:readOnly="false" ma:showField="MarketName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265EC822-753B-4D08-ABD2-7528F7EA7549}" ma:internalName="NumOfRatingsLookup" ma:readOnly="true" ma:showField="NumOfRatings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265EC822-753B-4D08-ABD2-7528F7EA7549}" ma:internalName="PublishStatusLookup" ma:readOnly="false" ma:showField="PublishStatus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83b99470-5334-428f-a1fd-0d0e15944553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85b752e4-2416-476b-a692-4eb1e2d041e5}" ma:internalName="TaxCatchAll" ma:showField="CatchAllData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85b752e4-2416-476b-a692-4eb1e2d041e5}" ma:internalName="TaxCatchAllLabel" ma:readOnly="true" ma:showField="CatchAllDataLabel" ma:web="90312ced-24b1-4a04-9112-3ea331aa59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ef7931-2f43-42ee-9374-56eb6ce620f4" elementFormDefault="qualified">
    <xsd:import namespace="http://schemas.microsoft.com/office/2006/documentManagement/types"/>
    <xsd:import namespace="http://schemas.microsoft.com/office/infopath/2007/PartnerControls"/>
    <xsd:element name="Description0" ma:index="134" nillable="true" ma:displayName="Description" ma:internalName="Description0">
      <xsd:simpleType>
        <xsd:restriction base="dms:Note"/>
      </xsd:simpleType>
    </xsd:element>
    <xsd:element name="Component" ma:index="135" nillable="true" ma:displayName="Component" ma:internalName="Component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ocComments xmlns="90312ced-24b1-4a04-9112-3ea331aa5919" xsi:nil="true"/>
    <ApprovalStatus xmlns="90312ced-24b1-4a04-9112-3ea331aa5919">InProgress</ApprovalStatus>
    <MarketSpecific xmlns="90312ced-24b1-4a04-9112-3ea331aa5919">false</MarketSpecific>
    <LocLastLocAttemptVersionTypeLookup xmlns="90312ced-24b1-4a04-9112-3ea331aa5919" xsi:nil="true"/>
    <LocPublishedLinkedAssetsLookup xmlns="90312ced-24b1-4a04-9112-3ea331aa5919" xsi:nil="true"/>
    <DirectSourceMarket xmlns="90312ced-24b1-4a04-9112-3ea331aa5919">english</DirectSourceMarket>
    <ThumbnailAssetId xmlns="90312ced-24b1-4a04-9112-3ea331aa5919" xsi:nil="true"/>
    <PrimaryImageGen xmlns="90312ced-24b1-4a04-9112-3ea331aa5919">true</PrimaryImageGen>
    <LegacyData xmlns="90312ced-24b1-4a04-9112-3ea331aa5919" xsi:nil="true"/>
    <LocNewPublishedVersionLookup xmlns="90312ced-24b1-4a04-9112-3ea331aa5919" xsi:nil="true"/>
    <TPFriendlyName xmlns="90312ced-24b1-4a04-9112-3ea331aa5919" xsi:nil="true"/>
    <BlockPublish xmlns="90312ced-24b1-4a04-9112-3ea331aa5919">false</BlockPublish>
    <BusinessGroup xmlns="90312ced-24b1-4a04-9112-3ea331aa5919" xsi:nil="true"/>
    <NumericId xmlns="90312ced-24b1-4a04-9112-3ea331aa5919" xsi:nil="true"/>
    <LocOverallPublishStatusLookup xmlns="90312ced-24b1-4a04-9112-3ea331aa5919" xsi:nil="true"/>
    <LocRecommendedHandoff xmlns="90312ced-24b1-4a04-9112-3ea331aa5919" xsi:nil="true"/>
    <SourceTitle xmlns="90312ced-24b1-4a04-9112-3ea331aa5919" xsi:nil="true"/>
    <OpenTemplate xmlns="90312ced-24b1-4a04-9112-3ea331aa5919">true</OpenTemplate>
    <APEditor xmlns="90312ced-24b1-4a04-9112-3ea331aa5919">
      <UserInfo>
        <DisplayName/>
        <AccountId xsi:nil="true"/>
        <AccountType/>
      </UserInfo>
    </APEditor>
    <LocOverallLocStatusLookup xmlns="90312ced-24b1-4a04-9112-3ea331aa5919" xsi:nil="true"/>
    <UALocComments xmlns="90312ced-24b1-4a04-9112-3ea331aa5919" xsi:nil="true"/>
    <PublishStatusLookup xmlns="90312ced-24b1-4a04-9112-3ea331aa5919">
      <Value>266330</Value>
      <Value>278607</Value>
    </PublishStatusLookup>
    <FeatureTagsTaxHTField0 xmlns="90312ced-24b1-4a04-9112-3ea331aa5919">
      <Terms xmlns="http://schemas.microsoft.com/office/infopath/2007/PartnerControls"/>
    </FeatureTagsTaxHTField0>
    <IntlLangReviewDate xmlns="90312ced-24b1-4a04-9112-3ea331aa5919" xsi:nil="true"/>
    <ParentAssetId xmlns="90312ced-24b1-4a04-9112-3ea331aa5919" xsi:nil="true"/>
    <LastPublishResultLookup xmlns="90312ced-24b1-4a04-9112-3ea331aa5919"/>
    <Providers xmlns="90312ced-24b1-4a04-9112-3ea331aa5919" xsi:nil="true"/>
    <MachineTranslated xmlns="90312ced-24b1-4a04-9112-3ea331aa5919">false</MachineTranslated>
    <OriginalSourceMarket xmlns="90312ced-24b1-4a04-9112-3ea331aa5919">english</OriginalSourceMarket>
    <TPInstallLocation xmlns="90312ced-24b1-4a04-9112-3ea331aa5919" xsi:nil="true"/>
    <APDescription xmlns="90312ced-24b1-4a04-9112-3ea331aa5919" xsi:nil="true"/>
    <ClipArtFilename xmlns="90312ced-24b1-4a04-9112-3ea331aa5919" xsi:nil="true"/>
    <ContentItem xmlns="90312ced-24b1-4a04-9112-3ea331aa5919" xsi:nil="true"/>
    <PublishTargets xmlns="90312ced-24b1-4a04-9112-3ea331aa5919">OfficeOnline</PublishTargets>
    <TimesCloned xmlns="90312ced-24b1-4a04-9112-3ea331aa5919" xsi:nil="true"/>
    <AssetStart xmlns="90312ced-24b1-4a04-9112-3ea331aa5919">2011-02-21T07:34:00+00:00</AssetStart>
    <Provider xmlns="90312ced-24b1-4a04-9112-3ea331aa5919" xsi:nil="true"/>
    <AcquiredFrom xmlns="90312ced-24b1-4a04-9112-3ea331aa5919">Internal MS</AcquiredFrom>
    <FriendlyTitle xmlns="90312ced-24b1-4a04-9112-3ea331aa5919" xsi:nil="true"/>
    <LastHandOff xmlns="90312ced-24b1-4a04-9112-3ea331aa5919" xsi:nil="true"/>
    <TPClientViewer xmlns="90312ced-24b1-4a04-9112-3ea331aa5919" xsi:nil="true"/>
    <IsDeleted xmlns="90312ced-24b1-4a04-9112-3ea331aa5919">false</IsDeleted>
    <TemplateStatus xmlns="90312ced-24b1-4a04-9112-3ea331aa5919" xsi:nil="true"/>
    <Downloads xmlns="90312ced-24b1-4a04-9112-3ea331aa5919">0</Downloads>
    <OOCacheId xmlns="90312ced-24b1-4a04-9112-3ea331aa5919" xsi:nil="true"/>
    <LocPublishedDependentAssetsLookup xmlns="90312ced-24b1-4a04-9112-3ea331aa5919" xsi:nil="true"/>
    <TPExecutable xmlns="90312ced-24b1-4a04-9112-3ea331aa5919" xsi:nil="true"/>
    <SubmitterId xmlns="90312ced-24b1-4a04-9112-3ea331aa5919" xsi:nil="true"/>
    <EditorialTags xmlns="90312ced-24b1-4a04-9112-3ea331aa5919" xsi:nil="true"/>
    <AssetType xmlns="90312ced-24b1-4a04-9112-3ea331aa5919">TP</AssetType>
    <ApprovalLog xmlns="90312ced-24b1-4a04-9112-3ea331aa5919" xsi:nil="true"/>
    <BugNumber xmlns="90312ced-24b1-4a04-9112-3ea331aa5919" xsi:nil="true"/>
    <CSXSubmissionDate xmlns="90312ced-24b1-4a04-9112-3ea331aa5919" xsi:nil="true"/>
    <CSXUpdate xmlns="90312ced-24b1-4a04-9112-3ea331aa5919">false</CSXUpdate>
    <Milestone xmlns="90312ced-24b1-4a04-9112-3ea331aa5919" xsi:nil="true"/>
    <OriginAsset xmlns="90312ced-24b1-4a04-9112-3ea331aa5919" xsi:nil="true"/>
    <TPComponent xmlns="90312ced-24b1-4a04-9112-3ea331aa5919" xsi:nil="true"/>
    <RecommendationsModifier xmlns="90312ced-24b1-4a04-9112-3ea331aa5919" xsi:nil="true"/>
    <Component xmlns="41ef7931-2f43-42ee-9374-56eb6ce620f4" xsi:nil="true"/>
    <Description0 xmlns="41ef7931-2f43-42ee-9374-56eb6ce620f4" xsi:nil="true"/>
    <AssetId xmlns="90312ced-24b1-4a04-9112-3ea331aa5919">TP102550755</AssetId>
    <TPApplication xmlns="90312ced-24b1-4a04-9112-3ea331aa5919" xsi:nil="true"/>
    <TPLaunchHelpLink xmlns="90312ced-24b1-4a04-9112-3ea331aa5919" xsi:nil="true"/>
    <IntlLocPriority xmlns="90312ced-24b1-4a04-9112-3ea331aa5919" xsi:nil="true"/>
    <PolicheckWords xmlns="90312ced-24b1-4a04-9112-3ea331aa5919" xsi:nil="true"/>
    <CrawlForDependencies xmlns="90312ced-24b1-4a04-9112-3ea331aa5919">false</CrawlForDependencies>
    <PlannedPubDate xmlns="90312ced-24b1-4a04-9112-3ea331aa5919" xsi:nil="true"/>
    <HandoffToMSDN xmlns="90312ced-24b1-4a04-9112-3ea331aa5919" xsi:nil="true"/>
    <IntlLangReviewer xmlns="90312ced-24b1-4a04-9112-3ea331aa5919" xsi:nil="true"/>
    <TrustLevel xmlns="90312ced-24b1-4a04-9112-3ea331aa5919">1 Microsoft Managed Content</TrustLevel>
    <LocLastLocAttemptVersionLookup xmlns="90312ced-24b1-4a04-9112-3ea331aa5919">167063</LocLastLocAttemptVersionLookup>
    <LocProcessedForHandoffsLookup xmlns="90312ced-24b1-4a04-9112-3ea331aa5919" xsi:nil="true"/>
    <TemplateTemplateType xmlns="90312ced-24b1-4a04-9112-3ea331aa5919">Excel Chart Template</TemplateTemplateType>
    <TPNamespace xmlns="90312ced-24b1-4a04-9112-3ea331aa5919" xsi:nil="true"/>
    <IsSearchable xmlns="90312ced-24b1-4a04-9112-3ea331aa5919">true</IsSearchable>
    <CampaignTagsTaxHTField0 xmlns="90312ced-24b1-4a04-9112-3ea331aa5919">
      <Terms xmlns="http://schemas.microsoft.com/office/infopath/2007/PartnerControls"/>
    </CampaignTagsTaxHTField0>
    <LocOverallPreviewStatusLookup xmlns="90312ced-24b1-4a04-9112-3ea331aa5919" xsi:nil="true"/>
    <TaxCatchAll xmlns="90312ced-24b1-4a04-9112-3ea331aa5919"/>
    <Markets xmlns="90312ced-24b1-4a04-9112-3ea331aa5919"/>
    <UAProjectedTotalWords xmlns="90312ced-24b1-4a04-9112-3ea331aa5919" xsi:nil="true"/>
    <IntlLangReview xmlns="90312ced-24b1-4a04-9112-3ea331aa5919" xsi:nil="true"/>
    <OutputCachingOn xmlns="90312ced-24b1-4a04-9112-3ea331aa5919">false</OutputCachingOn>
    <AverageRating xmlns="90312ced-24b1-4a04-9112-3ea331aa5919" xsi:nil="true"/>
    <LocMarketGroupTiers2 xmlns="90312ced-24b1-4a04-9112-3ea331aa5919" xsi:nil="true"/>
    <TPAppVersion xmlns="90312ced-24b1-4a04-9112-3ea331aa5919" xsi:nil="true"/>
    <TPCommandLine xmlns="90312ced-24b1-4a04-9112-3ea331aa5919" xsi:nil="true"/>
    <APAuthor xmlns="90312ced-24b1-4a04-9112-3ea331aa5919">
      <UserInfo>
        <DisplayName>REDMOND\v-salaxm</DisplayName>
        <AccountId>2098</AccountId>
        <AccountType/>
      </UserInfo>
    </APAuthor>
    <LocManualTestRequired xmlns="90312ced-24b1-4a04-9112-3ea331aa5919">false</LocManualTestRequired>
    <EditorialStatus xmlns="90312ced-24b1-4a04-9112-3ea331aa5919" xsi:nil="true"/>
    <TPLaunchHelpLinkType xmlns="90312ced-24b1-4a04-9112-3ea331aa5919">Template</TPLaunchHelpLinkType>
    <LastModifiedDateTime xmlns="90312ced-24b1-4a04-9112-3ea331aa5919" xsi:nil="true"/>
    <LocProcessedForMarketsLookup xmlns="90312ced-24b1-4a04-9112-3ea331aa5919" xsi:nil="true"/>
    <ScenarioTagsTaxHTField0 xmlns="90312ced-24b1-4a04-9112-3ea331aa5919">
      <Terms xmlns="http://schemas.microsoft.com/office/infopath/2007/PartnerControls"/>
    </ScenarioTagsTaxHTField0>
    <OriginalRelease xmlns="90312ced-24b1-4a04-9112-3ea331aa5919">14</OriginalRelease>
    <LocalizationTagsTaxHTField0 xmlns="90312ced-24b1-4a04-9112-3ea331aa5919">
      <Terms xmlns="http://schemas.microsoft.com/office/infopath/2007/PartnerControls"/>
    </LocalizationTagsTaxHTField0>
    <LocOverallHandbackStatusLookup xmlns="90312ced-24b1-4a04-9112-3ea331aa5919" xsi:nil="true"/>
    <Manager xmlns="90312ced-24b1-4a04-9112-3ea331aa5919" xsi:nil="true"/>
    <UACurrentWords xmlns="90312ced-24b1-4a04-9112-3ea331aa5919" xsi:nil="true"/>
    <ArtSampleDocs xmlns="90312ced-24b1-4a04-9112-3ea331aa5919" xsi:nil="true"/>
    <UALocRecommendation xmlns="90312ced-24b1-4a04-9112-3ea331aa5919">Localize</UALocRecommendation>
    <CSXHash xmlns="90312ced-24b1-4a04-9112-3ea331aa5919" xsi:nil="true"/>
    <UANotes xmlns="90312ced-24b1-4a04-9112-3ea331aa5919" xsi:nil="true"/>
    <ShowIn xmlns="90312ced-24b1-4a04-9112-3ea331aa5919">Show everywhere</ShowIn>
    <VoteCount xmlns="90312ced-24b1-4a04-9112-3ea331aa5919" xsi:nil="true"/>
    <InternalTagsTaxHTField0 xmlns="90312ced-24b1-4a04-9112-3ea331aa5919">
      <Terms xmlns="http://schemas.microsoft.com/office/infopath/2007/PartnerControls"/>
    </InternalTagsTaxHTField0>
    <AssetExpire xmlns="90312ced-24b1-4a04-9112-3ea331aa5919">2029-05-12T07:00:00+00:00</AssetExpire>
    <DSATActionTaken xmlns="90312ced-24b1-4a04-9112-3ea331aa5919" xsi:nil="true"/>
    <CSXSubmissionMarket xmlns="90312ced-24b1-4a04-9112-3ea331aa5919" xsi:nil="true"/>
  </documentManagement>
</p:properties>
</file>

<file path=customXml/itemProps1.xml><?xml version="1.0" encoding="utf-8"?>
<ds:datastoreItem xmlns:ds="http://schemas.openxmlformats.org/officeDocument/2006/customXml" ds:itemID="{235FE055-26FF-4389-A30B-04D76EE52130}"/>
</file>

<file path=customXml/itemProps2.xml><?xml version="1.0" encoding="utf-8"?>
<ds:datastoreItem xmlns:ds="http://schemas.openxmlformats.org/officeDocument/2006/customXml" ds:itemID="{A89BFC22-D908-4A4C-A206-B9C4E2B1F485}"/>
</file>

<file path=customXml/itemProps3.xml><?xml version="1.0" encoding="utf-8"?>
<ds:datastoreItem xmlns:ds="http://schemas.openxmlformats.org/officeDocument/2006/customXml" ds:itemID="{9C512FE6-62B5-45BA-B185-65F945C2F8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12</vt:i4>
      </vt:variant>
      <vt:variant>
        <vt:lpstr>نطاقات تمت تسميتها</vt:lpstr>
      </vt:variant>
      <vt:variant>
        <vt:i4>13</vt:i4>
      </vt:variant>
    </vt:vector>
  </HeadingPairs>
  <TitlesOfParts>
    <vt:vector size="25" baseType="lpstr">
      <vt:lpstr>يناير</vt:lpstr>
      <vt:lpstr>فبراير</vt:lpstr>
      <vt:lpstr>مارس</vt:lpstr>
      <vt:lpstr>أبريل</vt:lpstr>
      <vt:lpstr>مايو</vt:lpstr>
      <vt:lpstr>يونيو</vt:lpstr>
      <vt:lpstr>يوليو</vt:lpstr>
      <vt:lpstr>أغسطس</vt:lpstr>
      <vt:lpstr>سبتمبر</vt:lpstr>
      <vt:lpstr>أكتوبر</vt:lpstr>
      <vt:lpstr>نوفمبر</vt:lpstr>
      <vt:lpstr>ديسمبر</vt:lpstr>
      <vt:lpstr>CalendarYear</vt:lpstr>
      <vt:lpstr>أبريل!Print_Area</vt:lpstr>
      <vt:lpstr>أغسطس!Print_Area</vt:lpstr>
      <vt:lpstr>أكتوبر!Print_Area</vt:lpstr>
      <vt:lpstr>ديسمبر!Print_Area</vt:lpstr>
      <vt:lpstr>سبتمبر!Print_Area</vt:lpstr>
      <vt:lpstr>فبراير!Print_Area</vt:lpstr>
      <vt:lpstr>مارس!Print_Area</vt:lpstr>
      <vt:lpstr>مايو!Print_Area</vt:lpstr>
      <vt:lpstr>نوفمبر!Print_Area</vt:lpstr>
      <vt:lpstr>يناير!Print_Area</vt:lpstr>
      <vt:lpstr>يوليو!Print_Area</vt:lpstr>
      <vt:lpstr>يونيو!Print_Area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modified xsi:type="dcterms:W3CDTF">2013-01-30T09:32:52Z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TC025507569991</vt:lpwstr>
  </property>
  <property fmtid="{D5CDD505-2E9C-101B-9397-08002B2CF9AE}" pid="3" name="Order">
    <vt:r8>9616200</vt:r8>
  </property>
  <property fmtid="{D5CDD505-2E9C-101B-9397-08002B2CF9AE}" pid="4" name="HiddenCategoryTags">
    <vt:lpwstr/>
  </property>
  <property fmtid="{D5CDD505-2E9C-101B-9397-08002B2CF9AE}" pid="5" name="InternalTags">
    <vt:lpwstr/>
  </property>
  <property fmtid="{D5CDD505-2E9C-101B-9397-08002B2CF9AE}" pid="6" name="ContentTypeId">
    <vt:lpwstr>0x010100A527E9BDFA242146B59EAA0A2BBC516804009EC5643677B736459CE4ACB8094A990F</vt:lpwstr>
  </property>
  <property fmtid="{D5CDD505-2E9C-101B-9397-08002B2CF9AE}" pid="7" name="LocalizationTags">
    <vt:lpwstr/>
  </property>
  <property fmtid="{D5CDD505-2E9C-101B-9397-08002B2CF9AE}" pid="8" name="FeatureTags">
    <vt:lpwstr/>
  </property>
  <property fmtid="{D5CDD505-2E9C-101B-9397-08002B2CF9AE}" pid="9" name="ImageGenStatus">
    <vt:i4>0</vt:i4>
  </property>
  <property fmtid="{D5CDD505-2E9C-101B-9397-08002B2CF9AE}" pid="10" name="CategoryTags">
    <vt:lpwstr/>
  </property>
  <property fmtid="{D5CDD505-2E9C-101B-9397-08002B2CF9AE}" pid="11" name="Applications">
    <vt:lpwstr/>
  </property>
  <property fmtid="{D5CDD505-2E9C-101B-9397-08002B2CF9AE}" pid="12" name="CampaignTags">
    <vt:lpwstr/>
  </property>
  <property fmtid="{D5CDD505-2E9C-101B-9397-08002B2CF9AE}" pid="13" name="ScenarioTags">
    <vt:lpwstr/>
  </property>
</Properties>
</file>